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5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6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trlProps/ctrlProp1.xml" ContentType="application/vnd.ms-excel.controlproperties+xml"/>
  <Override PartName="/xl/drawings/drawing7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drawings/drawing8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Разработка\Почта\Сайт\"/>
    </mc:Choice>
  </mc:AlternateContent>
  <bookViews>
    <workbookView xWindow="0" yWindow="0" windowWidth="20490" windowHeight="9105" tabRatio="886" activeTab="1" autoFilterDateGrouping="0"/>
  </bookViews>
  <sheets>
    <sheet name="Исходные данные" sheetId="45" r:id="rId1"/>
    <sheet name="Военная пенсия 1" sheetId="56" r:id="rId2"/>
    <sheet name="Военная пенсия 2" sheetId="61" state="veryHidden" r:id="rId3"/>
    <sheet name="Военная пенсия 3" sheetId="63" state="veryHidden" r:id="rId4"/>
    <sheet name="Военная пенсия 4" sheetId="64" state="veryHidden" r:id="rId5"/>
    <sheet name="СпрИнд" sheetId="18" state="veryHidden" r:id="rId6"/>
    <sheet name="СпрОДС" sheetId="5" state="veryHidden" r:id="rId7"/>
    <sheet name="Инструкция" sheetId="22" r:id="rId8"/>
    <sheet name="Параметры" sheetId="29" state="veryHidden" r:id="rId9"/>
  </sheets>
  <definedNames>
    <definedName name="___СписокВЗ">СпрОДС!$A$67:$A$86</definedName>
    <definedName name="___СписокТР">СпрОДС!$A$12:$A$61</definedName>
    <definedName name="__ВПрасч1">'Военная пенсия 1'!$C$33:$I$51</definedName>
    <definedName name="__ВПрасч2">'Военная пенсия 2'!$C$35:$I$44</definedName>
    <definedName name="__ВПрасч3">'Военная пенсия 3'!$C$31:$I$35</definedName>
    <definedName name="__ИндексОДС">СпрИнд!$H$10:$L$28</definedName>
    <definedName name="__ИндОДД">СпрИнд!$L:$L</definedName>
    <definedName name="__ОВД">СпрОДС!$9:$61</definedName>
    <definedName name="__ОВЗ">СпрОДС!$64:$86</definedName>
    <definedName name="__ОкладыВЗ">СпрОДС!$62:$86</definedName>
    <definedName name="__ОкладыТР">СпрОДС!$7:$61</definedName>
    <definedName name="__Периоды">СпрИнд!$E$10:$N$28</definedName>
    <definedName name="__СписокВЗ" comment="Список для выбора ВЗ">СпрОДС!$A$67:$A$86</definedName>
    <definedName name="__СписокТР" comment="ВЫбор ТР">СпрОДС!$A$12:$A$61</definedName>
    <definedName name="ДнейВмесяце">Параметры!$F$78:$H$89</definedName>
  </definedNames>
  <calcPr calcId="162913"/>
</workbook>
</file>

<file path=xl/calcChain.xml><?xml version="1.0" encoding="utf-8"?>
<calcChain xmlns="http://schemas.openxmlformats.org/spreadsheetml/2006/main">
  <c r="D60" i="22" l="1"/>
  <c r="Y26" i="18" l="1"/>
  <c r="X26" i="18"/>
  <c r="Z26" i="18" s="1"/>
  <c r="O26" i="18" s="1"/>
  <c r="I26" i="18"/>
  <c r="J84" i="29" l="1"/>
  <c r="I85" i="29" s="1"/>
  <c r="J85" i="29" l="1"/>
  <c r="I86" i="29" s="1"/>
  <c r="K85" i="29"/>
  <c r="K86" i="29" l="1"/>
  <c r="J88" i="29"/>
  <c r="I90" i="29"/>
  <c r="C35" i="45" l="1"/>
  <c r="AG7" i="18" l="1"/>
  <c r="AG3" i="18" s="1"/>
  <c r="AC7" i="18"/>
  <c r="AC3" i="18" s="1"/>
  <c r="AG6" i="18"/>
  <c r="AG2" i="18" s="1"/>
  <c r="AC6" i="18"/>
  <c r="AC2" i="18" s="1"/>
  <c r="S5" i="45" l="1"/>
  <c r="I15" i="61" l="1"/>
  <c r="I14" i="56" l="1"/>
  <c r="F9" i="64" l="1"/>
  <c r="F9" i="63" l="1"/>
  <c r="F8" i="61" l="1"/>
  <c r="E88" i="56"/>
  <c r="F8" i="56" l="1"/>
  <c r="D63" i="29" l="1"/>
  <c r="D62" i="29"/>
  <c r="O62" i="29" s="1"/>
  <c r="D61" i="29"/>
  <c r="H62" i="29" l="1"/>
  <c r="M62" i="29" s="1"/>
  <c r="K62" i="29"/>
  <c r="I62" i="29"/>
  <c r="N62" i="29" s="1"/>
  <c r="I63" i="29"/>
  <c r="N63" i="29" s="1"/>
  <c r="O61" i="29"/>
  <c r="O63" i="29"/>
  <c r="H61" i="29"/>
  <c r="M61" i="29" s="1"/>
  <c r="H63" i="29"/>
  <c r="M63" i="29" s="1"/>
  <c r="K63" i="29" l="1"/>
  <c r="L63" i="29" s="1"/>
  <c r="L62" i="29"/>
  <c r="K61" i="29"/>
  <c r="I61" i="29"/>
  <c r="N61" i="29" s="1"/>
  <c r="L77" i="29"/>
  <c r="L79" i="29" s="1"/>
  <c r="L61" i="29" l="1"/>
  <c r="L78" i="29"/>
  <c r="L81" i="29" s="1"/>
  <c r="L84" i="29" l="1"/>
  <c r="L82" i="29" s="1"/>
  <c r="L83" i="29" s="1"/>
  <c r="L80" i="29" s="1"/>
  <c r="M77" i="29" l="1"/>
  <c r="M78" i="29" l="1"/>
  <c r="M80" i="29" s="1"/>
  <c r="M79" i="29"/>
  <c r="M82" i="29" s="1"/>
  <c r="F41" i="22" l="1"/>
  <c r="B1" i="18" l="1"/>
  <c r="D1" i="18" s="1"/>
  <c r="D78" i="29" l="1"/>
  <c r="D79" i="29" s="1"/>
  <c r="G79" i="29" s="1"/>
  <c r="C78" i="29"/>
  <c r="B78" i="29"/>
  <c r="C77" i="29"/>
  <c r="C88" i="29" s="1"/>
  <c r="J71" i="29"/>
  <c r="J70" i="29"/>
  <c r="O69" i="29"/>
  <c r="O67" i="29"/>
  <c r="J66" i="29"/>
  <c r="J65" i="29"/>
  <c r="J64" i="29"/>
  <c r="J60" i="29"/>
  <c r="J59" i="29"/>
  <c r="J58" i="29"/>
  <c r="J48" i="29"/>
  <c r="F48" i="29"/>
  <c r="B35" i="29"/>
  <c r="B39" i="29" s="1"/>
  <c r="B41" i="29" s="1"/>
  <c r="B42" i="29" s="1"/>
  <c r="B43" i="29" s="1"/>
  <c r="B46" i="29" s="1"/>
  <c r="B27" i="29"/>
  <c r="B31" i="29" s="1"/>
  <c r="F20" i="29"/>
  <c r="F45" i="22"/>
  <c r="U22" i="22"/>
  <c r="U41" i="22" s="1"/>
  <c r="T15" i="22"/>
  <c r="D104" i="61"/>
  <c r="D61" i="61"/>
  <c r="D52" i="61"/>
  <c r="A88" i="5"/>
  <c r="D64" i="5"/>
  <c r="E64" i="5" s="1"/>
  <c r="C22" i="5"/>
  <c r="C23" i="5" s="1"/>
  <c r="A22" i="5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E9" i="5"/>
  <c r="D9" i="5"/>
  <c r="M28" i="18"/>
  <c r="Y25" i="18"/>
  <c r="X25" i="18"/>
  <c r="I25" i="18"/>
  <c r="Y24" i="18"/>
  <c r="X24" i="18"/>
  <c r="I24" i="18"/>
  <c r="Y23" i="18"/>
  <c r="X23" i="18"/>
  <c r="I23" i="18"/>
  <c r="Y22" i="18"/>
  <c r="X22" i="18"/>
  <c r="I22" i="18"/>
  <c r="Y21" i="18"/>
  <c r="X21" i="18"/>
  <c r="I21" i="18"/>
  <c r="Y20" i="18"/>
  <c r="X20" i="18"/>
  <c r="I20" i="18"/>
  <c r="O19" i="18"/>
  <c r="I19" i="18"/>
  <c r="I18" i="18"/>
  <c r="I17" i="18"/>
  <c r="I16" i="18"/>
  <c r="I15" i="18"/>
  <c r="I14" i="18"/>
  <c r="I13" i="18"/>
  <c r="I12" i="18"/>
  <c r="I11" i="18"/>
  <c r="E11" i="18"/>
  <c r="L10" i="18"/>
  <c r="I10" i="18"/>
  <c r="G8" i="18"/>
  <c r="F8" i="18"/>
  <c r="AP5" i="18"/>
  <c r="AN3" i="18"/>
  <c r="AF3" i="18"/>
  <c r="AE3" i="18"/>
  <c r="AF2" i="18"/>
  <c r="AE2" i="18"/>
  <c r="D136" i="56"/>
  <c r="C122" i="56"/>
  <c r="F117" i="56"/>
  <c r="C99" i="56"/>
  <c r="K98" i="56"/>
  <c r="H98" i="56"/>
  <c r="E98" i="56"/>
  <c r="D98" i="56"/>
  <c r="D78" i="56"/>
  <c r="D69" i="56"/>
  <c r="E68" i="56"/>
  <c r="D68" i="56"/>
  <c r="F61" i="56"/>
  <c r="F60" i="56"/>
  <c r="C59" i="56"/>
  <c r="E59" i="56" s="1"/>
  <c r="E61" i="56" s="1"/>
  <c r="F53" i="56"/>
  <c r="C34" i="56"/>
  <c r="N18" i="45"/>
  <c r="J18" i="45"/>
  <c r="O9" i="64" s="1"/>
  <c r="J16" i="45"/>
  <c r="K9" i="64" s="1"/>
  <c r="N14" i="45"/>
  <c r="T16" i="22" s="1"/>
  <c r="J14" i="45"/>
  <c r="I9" i="64" s="1"/>
  <c r="J12" i="45"/>
  <c r="Q5" i="45" l="1"/>
  <c r="J26" i="18"/>
  <c r="M26" i="18" s="1"/>
  <c r="Z21" i="18"/>
  <c r="O21" i="18" s="1"/>
  <c r="Z23" i="18"/>
  <c r="O23" i="18" s="1"/>
  <c r="H99" i="56"/>
  <c r="AJ9" i="18"/>
  <c r="J15" i="18"/>
  <c r="M15" i="18" s="1"/>
  <c r="Z24" i="18"/>
  <c r="O24" i="18" s="1"/>
  <c r="Z20" i="18"/>
  <c r="O20" i="18" s="1"/>
  <c r="Z22" i="18"/>
  <c r="O22" i="18" s="1"/>
  <c r="I6" i="56"/>
  <c r="I6" i="61"/>
  <c r="H15" i="64"/>
  <c r="H7" i="64"/>
  <c r="I11" i="63"/>
  <c r="I7" i="63"/>
  <c r="I11" i="61"/>
  <c r="J26" i="45"/>
  <c r="V2" i="64"/>
  <c r="U37" i="22"/>
  <c r="O9" i="63"/>
  <c r="K8" i="61"/>
  <c r="K9" i="63"/>
  <c r="I8" i="61"/>
  <c r="I9" i="63"/>
  <c r="D42" i="63"/>
  <c r="D31" i="63"/>
  <c r="O8" i="56"/>
  <c r="O8" i="61"/>
  <c r="D35" i="61"/>
  <c r="D51" i="61" s="1"/>
  <c r="D71" i="61" s="1"/>
  <c r="I8" i="56"/>
  <c r="F34" i="56"/>
  <c r="F63" i="56"/>
  <c r="Z25" i="18"/>
  <c r="O25" i="18" s="1"/>
  <c r="B79" i="29"/>
  <c r="B80" i="29" s="1"/>
  <c r="D89" i="29" s="1"/>
  <c r="J21" i="18"/>
  <c r="M21" i="18" s="1"/>
  <c r="J23" i="18"/>
  <c r="M23" i="18" s="1"/>
  <c r="J25" i="18"/>
  <c r="K25" i="18" s="1"/>
  <c r="N16" i="45"/>
  <c r="M9" i="64" s="1"/>
  <c r="C100" i="56"/>
  <c r="K99" i="56"/>
  <c r="T17" i="22"/>
  <c r="T18" i="22"/>
  <c r="D34" i="56"/>
  <c r="D99" i="56"/>
  <c r="C35" i="56"/>
  <c r="E34" i="56"/>
  <c r="E99" i="56"/>
  <c r="T13" i="22"/>
  <c r="J77" i="29"/>
  <c r="T14" i="22"/>
  <c r="A90" i="5"/>
  <c r="K8" i="56"/>
  <c r="E60" i="56"/>
  <c r="AD2" i="18"/>
  <c r="J12" i="18"/>
  <c r="J16" i="18"/>
  <c r="C24" i="5"/>
  <c r="J14" i="18"/>
  <c r="J17" i="18"/>
  <c r="J18" i="18"/>
  <c r="J19" i="18"/>
  <c r="F9" i="5"/>
  <c r="J11" i="18"/>
  <c r="J20" i="18"/>
  <c r="J22" i="18"/>
  <c r="J24" i="18"/>
  <c r="AI2" i="18"/>
  <c r="D122" i="56"/>
  <c r="C123" i="56"/>
  <c r="L11" i="18"/>
  <c r="J13" i="18"/>
  <c r="J10" i="18"/>
  <c r="E12" i="18"/>
  <c r="F64" i="5"/>
  <c r="B88" i="29"/>
  <c r="K26" i="18" l="1"/>
  <c r="D82" i="61"/>
  <c r="K15" i="18"/>
  <c r="M8" i="61"/>
  <c r="M9" i="63"/>
  <c r="D90" i="29"/>
  <c r="K78" i="29"/>
  <c r="K79" i="29" s="1"/>
  <c r="H79" i="29" s="1"/>
  <c r="I78" i="29"/>
  <c r="J78" i="29"/>
  <c r="M25" i="18"/>
  <c r="K21" i="18"/>
  <c r="K23" i="18"/>
  <c r="E13" i="18"/>
  <c r="L12" i="18"/>
  <c r="AB2" i="18"/>
  <c r="AJ2" i="18"/>
  <c r="Y1" i="18"/>
  <c r="X1" i="18"/>
  <c r="C25" i="5"/>
  <c r="H100" i="56"/>
  <c r="K100" i="56"/>
  <c r="E100" i="56"/>
  <c r="C101" i="56"/>
  <c r="D100" i="56"/>
  <c r="M11" i="18"/>
  <c r="K11" i="18"/>
  <c r="F123" i="56" s="1"/>
  <c r="D53" i="63"/>
  <c r="B8" i="29"/>
  <c r="M10" i="18"/>
  <c r="K10" i="18"/>
  <c r="F122" i="56" s="1"/>
  <c r="G9" i="5"/>
  <c r="K13" i="18"/>
  <c r="M13" i="18"/>
  <c r="M19" i="18"/>
  <c r="K19" i="18"/>
  <c r="M16" i="18"/>
  <c r="K16" i="18"/>
  <c r="F35" i="56"/>
  <c r="E35" i="56"/>
  <c r="C36" i="56"/>
  <c r="D35" i="56"/>
  <c r="U29" i="22"/>
  <c r="M8" i="56"/>
  <c r="C124" i="56"/>
  <c r="D123" i="56"/>
  <c r="M24" i="18"/>
  <c r="K24" i="18"/>
  <c r="M17" i="18"/>
  <c r="K17" i="18"/>
  <c r="M12" i="18"/>
  <c r="K12" i="18"/>
  <c r="G64" i="5"/>
  <c r="M14" i="18"/>
  <c r="K14" i="18"/>
  <c r="F46" i="61"/>
  <c r="M18" i="18"/>
  <c r="K18" i="18"/>
  <c r="M22" i="18"/>
  <c r="K22" i="18"/>
  <c r="M20" i="18"/>
  <c r="K20" i="18"/>
  <c r="F124" i="56" l="1"/>
  <c r="E124" i="56"/>
  <c r="E123" i="56"/>
  <c r="E122" i="56"/>
  <c r="I79" i="29"/>
  <c r="I83" i="29" s="1"/>
  <c r="A4" i="18"/>
  <c r="C125" i="56"/>
  <c r="F125" i="56" s="1"/>
  <c r="D124" i="56"/>
  <c r="H9" i="5"/>
  <c r="F36" i="56"/>
  <c r="E36" i="56"/>
  <c r="C37" i="56"/>
  <c r="D36" i="56"/>
  <c r="H101" i="56"/>
  <c r="K101" i="56"/>
  <c r="E101" i="56"/>
  <c r="D101" i="56"/>
  <c r="C102" i="56"/>
  <c r="E14" i="18"/>
  <c r="L13" i="18"/>
  <c r="C26" i="5"/>
  <c r="H64" i="5"/>
  <c r="B9" i="29"/>
  <c r="A3" i="63"/>
  <c r="C52" i="61"/>
  <c r="C61" i="61"/>
  <c r="A3" i="61"/>
  <c r="AM3" i="18"/>
  <c r="C69" i="56"/>
  <c r="C78" i="56"/>
  <c r="A3" i="56"/>
  <c r="E125" i="56" l="1"/>
  <c r="I80" i="29"/>
  <c r="I81" i="29" s="1"/>
  <c r="A5" i="18"/>
  <c r="F37" i="56"/>
  <c r="E37" i="56"/>
  <c r="C38" i="56"/>
  <c r="D37" i="56"/>
  <c r="C103" i="56"/>
  <c r="H102" i="56"/>
  <c r="K102" i="56"/>
  <c r="E102" i="56"/>
  <c r="D102" i="56"/>
  <c r="C126" i="56"/>
  <c r="F126" i="56" s="1"/>
  <c r="D125" i="56"/>
  <c r="I9" i="5"/>
  <c r="C27" i="5"/>
  <c r="I64" i="5"/>
  <c r="E15" i="18"/>
  <c r="L14" i="18"/>
  <c r="E126" i="56" l="1"/>
  <c r="J81" i="29"/>
  <c r="J80" i="29"/>
  <c r="F38" i="56"/>
  <c r="E38" i="56"/>
  <c r="C39" i="56"/>
  <c r="D38" i="56"/>
  <c r="K103" i="56"/>
  <c r="C104" i="56"/>
  <c r="H103" i="56"/>
  <c r="E103" i="56"/>
  <c r="D103" i="56"/>
  <c r="E16" i="18"/>
  <c r="L15" i="18"/>
  <c r="C28" i="5"/>
  <c r="C127" i="56"/>
  <c r="F127" i="56" s="1"/>
  <c r="D126" i="56"/>
  <c r="J9" i="5"/>
  <c r="J64" i="5"/>
  <c r="E127" i="56" l="1"/>
  <c r="C29" i="5"/>
  <c r="F39" i="56"/>
  <c r="E39" i="56"/>
  <c r="D39" i="56"/>
  <c r="C40" i="56"/>
  <c r="D104" i="56"/>
  <c r="K104" i="56"/>
  <c r="C105" i="56"/>
  <c r="H104" i="56"/>
  <c r="E104" i="56"/>
  <c r="L16" i="18"/>
  <c r="E17" i="18"/>
  <c r="K9" i="5"/>
  <c r="C128" i="56"/>
  <c r="F128" i="56" s="1"/>
  <c r="D127" i="56"/>
  <c r="K64" i="5"/>
  <c r="E128" i="56" l="1"/>
  <c r="E105" i="56"/>
  <c r="D105" i="56"/>
  <c r="K105" i="56"/>
  <c r="C106" i="56"/>
  <c r="H105" i="56"/>
  <c r="L9" i="5"/>
  <c r="C129" i="56"/>
  <c r="D128" i="56"/>
  <c r="C30" i="5"/>
  <c r="L17" i="18"/>
  <c r="E18" i="18"/>
  <c r="F40" i="56"/>
  <c r="E40" i="56"/>
  <c r="D40" i="56"/>
  <c r="C41" i="56"/>
  <c r="L64" i="5"/>
  <c r="E129" i="56" l="1"/>
  <c r="C31" i="5"/>
  <c r="M9" i="5"/>
  <c r="E106" i="56"/>
  <c r="D106" i="56"/>
  <c r="K106" i="56"/>
  <c r="H106" i="56"/>
  <c r="C107" i="56"/>
  <c r="C130" i="56"/>
  <c r="F130" i="56" s="1"/>
  <c r="D129" i="56"/>
  <c r="F41" i="56"/>
  <c r="E41" i="56"/>
  <c r="D41" i="56"/>
  <c r="C42" i="56"/>
  <c r="M64" i="5"/>
  <c r="L18" i="18"/>
  <c r="E19" i="18"/>
  <c r="C131" i="56" l="1"/>
  <c r="D130" i="56"/>
  <c r="L19" i="18"/>
  <c r="E20" i="18"/>
  <c r="F42" i="56"/>
  <c r="E42" i="56"/>
  <c r="D42" i="56"/>
  <c r="C43" i="56"/>
  <c r="N9" i="5"/>
  <c r="N64" i="5"/>
  <c r="E107" i="56"/>
  <c r="D107" i="56"/>
  <c r="C108" i="56"/>
  <c r="K107" i="56"/>
  <c r="H107" i="56"/>
  <c r="C32" i="5"/>
  <c r="O9" i="5" l="1"/>
  <c r="C132" i="56"/>
  <c r="D131" i="56"/>
  <c r="C33" i="5"/>
  <c r="O64" i="5"/>
  <c r="F43" i="56"/>
  <c r="E43" i="56"/>
  <c r="D43" i="56"/>
  <c r="C44" i="56"/>
  <c r="E21" i="18"/>
  <c r="L20" i="18"/>
  <c r="H108" i="56"/>
  <c r="E108" i="56"/>
  <c r="C109" i="56"/>
  <c r="K108" i="56"/>
  <c r="D108" i="56"/>
  <c r="C34" i="5" l="1"/>
  <c r="F44" i="56"/>
  <c r="E44" i="56"/>
  <c r="D44" i="56"/>
  <c r="C45" i="56"/>
  <c r="C133" i="56"/>
  <c r="D132" i="56"/>
  <c r="P9" i="5"/>
  <c r="H109" i="56"/>
  <c r="D109" i="56"/>
  <c r="C110" i="56"/>
  <c r="K109" i="56"/>
  <c r="E109" i="56"/>
  <c r="E22" i="18"/>
  <c r="L21" i="18"/>
  <c r="P64" i="5"/>
  <c r="L22" i="18" l="1"/>
  <c r="Q9" i="5"/>
  <c r="E23" i="18"/>
  <c r="Q64" i="5"/>
  <c r="F45" i="56"/>
  <c r="E45" i="56"/>
  <c r="D45" i="56"/>
  <c r="C46" i="56"/>
  <c r="C134" i="56"/>
  <c r="E134" i="56" s="1"/>
  <c r="D133" i="56"/>
  <c r="C35" i="5"/>
  <c r="C111" i="56"/>
  <c r="H110" i="56"/>
  <c r="E110" i="56"/>
  <c r="D110" i="56"/>
  <c r="K110" i="56"/>
  <c r="L23" i="18" l="1"/>
  <c r="E24" i="18"/>
  <c r="L24" i="18" s="1"/>
  <c r="R64" i="5"/>
  <c r="K111" i="56"/>
  <c r="C112" i="56"/>
  <c r="H111" i="56"/>
  <c r="E111" i="56"/>
  <c r="D111" i="56"/>
  <c r="F46" i="56"/>
  <c r="E46" i="56"/>
  <c r="C47" i="56"/>
  <c r="D46" i="56"/>
  <c r="R9" i="5"/>
  <c r="D134" i="56"/>
  <c r="A119" i="56"/>
  <c r="C36" i="5"/>
  <c r="S64" i="5" l="1"/>
  <c r="S9" i="5"/>
  <c r="C37" i="5"/>
  <c r="F47" i="56"/>
  <c r="E47" i="56"/>
  <c r="D47" i="56"/>
  <c r="I19" i="61" s="1"/>
  <c r="C48" i="56"/>
  <c r="D112" i="56"/>
  <c r="K112" i="56"/>
  <c r="C113" i="56"/>
  <c r="C114" i="56" s="1"/>
  <c r="E112" i="56"/>
  <c r="H112" i="56"/>
  <c r="E25" i="18"/>
  <c r="E26" i="18" s="1"/>
  <c r="L25" i="18" l="1"/>
  <c r="L26" i="18" s="1"/>
  <c r="E114" i="56"/>
  <c r="K114" i="56"/>
  <c r="H114" i="56"/>
  <c r="D114" i="56"/>
  <c r="F48" i="56"/>
  <c r="E48" i="56"/>
  <c r="D48" i="56"/>
  <c r="C49" i="56"/>
  <c r="C50" i="56" s="1"/>
  <c r="C38" i="5"/>
  <c r="T9" i="5"/>
  <c r="E113" i="56"/>
  <c r="D113" i="56"/>
  <c r="K113" i="56"/>
  <c r="H113" i="56"/>
  <c r="T64" i="5"/>
  <c r="E50" i="56" l="1"/>
  <c r="D50" i="56"/>
  <c r="F50" i="56"/>
  <c r="F49" i="56"/>
  <c r="E49" i="56"/>
  <c r="D49" i="56"/>
  <c r="U64" i="5"/>
  <c r="U9" i="5"/>
  <c r="C39" i="5"/>
  <c r="V9" i="5" l="1"/>
  <c r="C40" i="5"/>
  <c r="V64" i="5"/>
  <c r="AN9" i="18" l="1"/>
  <c r="F131" i="56"/>
  <c r="F129" i="56"/>
  <c r="E132" i="56"/>
  <c r="AN10" i="18"/>
  <c r="F132" i="56"/>
  <c r="E130" i="56"/>
  <c r="E131" i="56"/>
  <c r="F133" i="56"/>
  <c r="F134" i="56"/>
  <c r="E133" i="56"/>
  <c r="G17" i="61"/>
  <c r="K17" i="61"/>
  <c r="G22" i="56"/>
  <c r="K22" i="56"/>
  <c r="U34" i="22"/>
  <c r="G23" i="61"/>
  <c r="K23" i="61"/>
  <c r="A95" i="56"/>
  <c r="C41" i="5"/>
  <c r="W64" i="5"/>
  <c r="V62" i="5"/>
  <c r="T62" i="5"/>
  <c r="U2" i="18"/>
  <c r="AP11" i="18" s="1"/>
  <c r="B4" i="29"/>
  <c r="W9" i="5"/>
  <c r="H21" i="61" l="1"/>
  <c r="AC9" i="18"/>
  <c r="AE12" i="18"/>
  <c r="K13" i="64"/>
  <c r="G13" i="64"/>
  <c r="T66" i="5"/>
  <c r="T65" i="5"/>
  <c r="T63" i="5"/>
  <c r="S7" i="5"/>
  <c r="O7" i="5"/>
  <c r="C42" i="5"/>
  <c r="P7" i="5"/>
  <c r="T7" i="5"/>
  <c r="U7" i="5"/>
  <c r="V7" i="5"/>
  <c r="A30" i="56"/>
  <c r="Q62" i="5"/>
  <c r="V66" i="5"/>
  <c r="V65" i="5"/>
  <c r="V63" i="5"/>
  <c r="X9" i="5"/>
  <c r="W7" i="5"/>
  <c r="P62" i="5"/>
  <c r="S62" i="5"/>
  <c r="B5" i="29"/>
  <c r="B11" i="29"/>
  <c r="C43" i="63"/>
  <c r="C62" i="61"/>
  <c r="A94" i="5"/>
  <c r="C72" i="61"/>
  <c r="I8" i="18"/>
  <c r="AL3" i="18"/>
  <c r="C79" i="56"/>
  <c r="E79" i="56" s="1"/>
  <c r="C89" i="56"/>
  <c r="AM4" i="18"/>
  <c r="AM5" i="18" s="1"/>
  <c r="AM6" i="18" s="1"/>
  <c r="AM7" i="18" s="1"/>
  <c r="AM8" i="18" s="1"/>
  <c r="AM9" i="18" s="1"/>
  <c r="AM10" i="18" s="1"/>
  <c r="AM11" i="18" s="1"/>
  <c r="AM12" i="18" s="1"/>
  <c r="AM13" i="18" s="1"/>
  <c r="AM14" i="18" s="1"/>
  <c r="D7" i="5"/>
  <c r="E7" i="5"/>
  <c r="H7" i="5"/>
  <c r="D62" i="5"/>
  <c r="AN5" i="18"/>
  <c r="AJ10" i="18" s="1"/>
  <c r="AJ8" i="18" s="1"/>
  <c r="AJ12" i="18"/>
  <c r="E78" i="56"/>
  <c r="E61" i="61"/>
  <c r="AJ11" i="18"/>
  <c r="G62" i="5"/>
  <c r="F7" i="5"/>
  <c r="AN8" i="18"/>
  <c r="AJ13" i="18"/>
  <c r="AN7" i="18"/>
  <c r="E62" i="5"/>
  <c r="K7" i="5"/>
  <c r="U30" i="22"/>
  <c r="G7" i="5"/>
  <c r="E69" i="56"/>
  <c r="E70" i="56" s="1"/>
  <c r="F62" i="5"/>
  <c r="G16" i="56"/>
  <c r="H20" i="56" s="1"/>
  <c r="E52" i="61"/>
  <c r="K16" i="56"/>
  <c r="B13" i="29"/>
  <c r="A92" i="5" s="1"/>
  <c r="I7" i="5"/>
  <c r="H62" i="5"/>
  <c r="C81" i="29"/>
  <c r="V5" i="18"/>
  <c r="I62" i="5"/>
  <c r="J62" i="5"/>
  <c r="K62" i="5"/>
  <c r="J7" i="5"/>
  <c r="M62" i="5"/>
  <c r="L7" i="5"/>
  <c r="L62" i="5"/>
  <c r="R7" i="5"/>
  <c r="M7" i="5"/>
  <c r="N62" i="5"/>
  <c r="O62" i="5"/>
  <c r="N7" i="5"/>
  <c r="U62" i="5"/>
  <c r="R62" i="5"/>
  <c r="X64" i="5"/>
  <c r="W62" i="5"/>
  <c r="U1" i="18"/>
  <c r="V1" i="18" s="1"/>
  <c r="Q7" i="5"/>
  <c r="H11" i="64" l="1"/>
  <c r="V3" i="64"/>
  <c r="V4" i="64" s="1"/>
  <c r="V5" i="64" s="1"/>
  <c r="G17" i="64" s="1"/>
  <c r="D89" i="56"/>
  <c r="F83" i="56" s="1"/>
  <c r="E89" i="56"/>
  <c r="U66" i="5"/>
  <c r="U65" i="5"/>
  <c r="U63" i="5"/>
  <c r="W10" i="5"/>
  <c r="W8" i="5"/>
  <c r="W11" i="5"/>
  <c r="P10" i="5"/>
  <c r="P8" i="5"/>
  <c r="P11" i="5"/>
  <c r="H65" i="5"/>
  <c r="H63" i="5"/>
  <c r="H66" i="5"/>
  <c r="G10" i="5"/>
  <c r="G8" i="5"/>
  <c r="G11" i="5"/>
  <c r="AN15" i="18"/>
  <c r="AN16" i="18" s="1"/>
  <c r="N11" i="5"/>
  <c r="N10" i="5"/>
  <c r="N8" i="5"/>
  <c r="J8" i="5"/>
  <c r="J11" i="5"/>
  <c r="J10" i="5"/>
  <c r="I8" i="5"/>
  <c r="I11" i="5"/>
  <c r="I10" i="5"/>
  <c r="F11" i="5"/>
  <c r="F10" i="5"/>
  <c r="F8" i="5"/>
  <c r="AL15" i="18"/>
  <c r="AL16" i="18" s="1"/>
  <c r="Y9" i="5"/>
  <c r="X7" i="5"/>
  <c r="C43" i="5"/>
  <c r="E62" i="61"/>
  <c r="E63" i="61" s="1"/>
  <c r="D62" i="61"/>
  <c r="F56" i="61" s="1"/>
  <c r="F22" i="29"/>
  <c r="F46" i="22"/>
  <c r="F21" i="29"/>
  <c r="F47" i="22"/>
  <c r="E19" i="29"/>
  <c r="M66" i="5"/>
  <c r="M65" i="5"/>
  <c r="M63" i="5"/>
  <c r="K8" i="5"/>
  <c r="K11" i="5"/>
  <c r="K10" i="5"/>
  <c r="N66" i="5"/>
  <c r="N65" i="5"/>
  <c r="N63" i="5"/>
  <c r="E66" i="5"/>
  <c r="E65" i="5"/>
  <c r="E63" i="5"/>
  <c r="E43" i="63"/>
  <c r="D43" i="63"/>
  <c r="F37" i="63" s="1"/>
  <c r="O10" i="5"/>
  <c r="O8" i="5"/>
  <c r="O11" i="5"/>
  <c r="Q8" i="5"/>
  <c r="Q11" i="5"/>
  <c r="Q10" i="5"/>
  <c r="M11" i="5"/>
  <c r="M10" i="5"/>
  <c r="M8" i="5"/>
  <c r="J63" i="5"/>
  <c r="J66" i="5"/>
  <c r="J65" i="5"/>
  <c r="AN6" i="18"/>
  <c r="AN11" i="18"/>
  <c r="AN12" i="18"/>
  <c r="D66" i="5"/>
  <c r="D65" i="5"/>
  <c r="D63" i="5"/>
  <c r="D79" i="56"/>
  <c r="F73" i="56" s="1"/>
  <c r="V11" i="5"/>
  <c r="V10" i="5"/>
  <c r="V8" i="5"/>
  <c r="S8" i="5"/>
  <c r="S11" i="5"/>
  <c r="S10" i="5"/>
  <c r="W65" i="5"/>
  <c r="W63" i="5"/>
  <c r="W66" i="5"/>
  <c r="R8" i="5"/>
  <c r="R11" i="5"/>
  <c r="R10" i="5"/>
  <c r="I66" i="5"/>
  <c r="I65" i="5"/>
  <c r="I63" i="5"/>
  <c r="AH13" i="18"/>
  <c r="AH14" i="18" s="1"/>
  <c r="H10" i="5"/>
  <c r="H8" i="5"/>
  <c r="H11" i="5"/>
  <c r="AO8" i="18"/>
  <c r="AP3" i="18"/>
  <c r="AO3" i="18"/>
  <c r="AO7" i="18"/>
  <c r="Q66" i="5"/>
  <c r="Q63" i="5"/>
  <c r="Q65" i="5"/>
  <c r="U11" i="5"/>
  <c r="U10" i="5"/>
  <c r="U8" i="5"/>
  <c r="O65" i="5"/>
  <c r="O63" i="5"/>
  <c r="O66" i="5"/>
  <c r="G65" i="5"/>
  <c r="G63" i="5"/>
  <c r="G66" i="5"/>
  <c r="Y64" i="5"/>
  <c r="X62" i="5"/>
  <c r="L66" i="5"/>
  <c r="L65" i="5"/>
  <c r="L63" i="5"/>
  <c r="F66" i="5"/>
  <c r="F65" i="5"/>
  <c r="F63" i="5"/>
  <c r="E11" i="5"/>
  <c r="E10" i="5"/>
  <c r="E8" i="5"/>
  <c r="S63" i="5"/>
  <c r="S66" i="5"/>
  <c r="S65" i="5"/>
  <c r="K63" i="5"/>
  <c r="K66" i="5"/>
  <c r="K65" i="5"/>
  <c r="R63" i="5"/>
  <c r="R66" i="5"/>
  <c r="R65" i="5"/>
  <c r="L8" i="5"/>
  <c r="L11" i="5"/>
  <c r="L10" i="5"/>
  <c r="D82" i="29"/>
  <c r="C82" i="29"/>
  <c r="AN13" i="18"/>
  <c r="AN14" i="18" s="1"/>
  <c r="AH12" i="18"/>
  <c r="AH11" i="18"/>
  <c r="D8" i="5"/>
  <c r="D11" i="5"/>
  <c r="D10" i="5"/>
  <c r="D42" i="5" s="1"/>
  <c r="E72" i="61"/>
  <c r="D72" i="61"/>
  <c r="F66" i="61" s="1"/>
  <c r="P65" i="5"/>
  <c r="P63" i="5"/>
  <c r="P66" i="5"/>
  <c r="T8" i="5"/>
  <c r="T11" i="5"/>
  <c r="T10" i="5"/>
  <c r="AP10" i="18" l="1"/>
  <c r="AO10" i="18" s="1"/>
  <c r="AP9" i="18"/>
  <c r="AO9" i="18" s="1"/>
  <c r="AE9" i="18"/>
  <c r="D28" i="45"/>
  <c r="E42" i="5"/>
  <c r="F42" i="5" s="1"/>
  <c r="G42" i="5" s="1"/>
  <c r="H42" i="5" s="1"/>
  <c r="I42" i="5" s="1"/>
  <c r="J42" i="5" s="1"/>
  <c r="K42" i="5" s="1"/>
  <c r="L42" i="5" s="1"/>
  <c r="M42" i="5" s="1"/>
  <c r="N42" i="5" s="1"/>
  <c r="O42" i="5" s="1"/>
  <c r="P42" i="5" s="1"/>
  <c r="Q42" i="5" s="1"/>
  <c r="R42" i="5" s="1"/>
  <c r="S42" i="5" s="1"/>
  <c r="T42" i="5" s="1"/>
  <c r="U42" i="5" s="1"/>
  <c r="V42" i="5" s="1"/>
  <c r="W42" i="5" s="1"/>
  <c r="X65" i="5"/>
  <c r="X63" i="5"/>
  <c r="X66" i="5"/>
  <c r="AI3" i="18"/>
  <c r="AD3" i="18"/>
  <c r="D86" i="5"/>
  <c r="E86" i="5" s="1"/>
  <c r="F86" i="5" s="1"/>
  <c r="G86" i="5" s="1"/>
  <c r="H86" i="5" s="1"/>
  <c r="I86" i="5" s="1"/>
  <c r="J86" i="5" s="1"/>
  <c r="K86" i="5" s="1"/>
  <c r="L86" i="5" s="1"/>
  <c r="M86" i="5" s="1"/>
  <c r="N86" i="5" s="1"/>
  <c r="O86" i="5" s="1"/>
  <c r="P86" i="5" s="1"/>
  <c r="Q86" i="5" s="1"/>
  <c r="R86" i="5" s="1"/>
  <c r="S86" i="5" s="1"/>
  <c r="T86" i="5" s="1"/>
  <c r="U86" i="5" s="1"/>
  <c r="V86" i="5" s="1"/>
  <c r="W86" i="5" s="1"/>
  <c r="D84" i="5"/>
  <c r="E84" i="5" s="1"/>
  <c r="F84" i="5" s="1"/>
  <c r="G84" i="5" s="1"/>
  <c r="H84" i="5" s="1"/>
  <c r="I84" i="5" s="1"/>
  <c r="J84" i="5" s="1"/>
  <c r="K84" i="5" s="1"/>
  <c r="L84" i="5" s="1"/>
  <c r="M84" i="5" s="1"/>
  <c r="N84" i="5" s="1"/>
  <c r="O84" i="5" s="1"/>
  <c r="P84" i="5" s="1"/>
  <c r="Q84" i="5" s="1"/>
  <c r="R84" i="5" s="1"/>
  <c r="S84" i="5" s="1"/>
  <c r="T84" i="5" s="1"/>
  <c r="U84" i="5" s="1"/>
  <c r="V84" i="5" s="1"/>
  <c r="W84" i="5" s="1"/>
  <c r="D79" i="5"/>
  <c r="E79" i="5" s="1"/>
  <c r="F79" i="5" s="1"/>
  <c r="G79" i="5" s="1"/>
  <c r="H79" i="5" s="1"/>
  <c r="I79" i="5" s="1"/>
  <c r="J79" i="5" s="1"/>
  <c r="K79" i="5" s="1"/>
  <c r="L79" i="5" s="1"/>
  <c r="M79" i="5" s="1"/>
  <c r="N79" i="5" s="1"/>
  <c r="O79" i="5" s="1"/>
  <c r="P79" i="5" s="1"/>
  <c r="Q79" i="5" s="1"/>
  <c r="R79" i="5" s="1"/>
  <c r="S79" i="5" s="1"/>
  <c r="T79" i="5" s="1"/>
  <c r="U79" i="5" s="1"/>
  <c r="V79" i="5" s="1"/>
  <c r="W79" i="5" s="1"/>
  <c r="D85" i="5"/>
  <c r="E85" i="5" s="1"/>
  <c r="F85" i="5" s="1"/>
  <c r="G85" i="5" s="1"/>
  <c r="H85" i="5" s="1"/>
  <c r="I85" i="5" s="1"/>
  <c r="J85" i="5" s="1"/>
  <c r="K85" i="5" s="1"/>
  <c r="L85" i="5" s="1"/>
  <c r="M85" i="5" s="1"/>
  <c r="N85" i="5" s="1"/>
  <c r="O85" i="5" s="1"/>
  <c r="P85" i="5" s="1"/>
  <c r="Q85" i="5" s="1"/>
  <c r="R85" i="5" s="1"/>
  <c r="S85" i="5" s="1"/>
  <c r="T85" i="5" s="1"/>
  <c r="U85" i="5" s="1"/>
  <c r="V85" i="5" s="1"/>
  <c r="W85" i="5" s="1"/>
  <c r="X85" i="5" s="1"/>
  <c r="D82" i="5"/>
  <c r="E82" i="5" s="1"/>
  <c r="F82" i="5" s="1"/>
  <c r="G82" i="5" s="1"/>
  <c r="H82" i="5" s="1"/>
  <c r="I82" i="5" s="1"/>
  <c r="J82" i="5" s="1"/>
  <c r="K82" i="5" s="1"/>
  <c r="L82" i="5" s="1"/>
  <c r="M82" i="5" s="1"/>
  <c r="N82" i="5" s="1"/>
  <c r="O82" i="5" s="1"/>
  <c r="P82" i="5" s="1"/>
  <c r="Q82" i="5" s="1"/>
  <c r="R82" i="5" s="1"/>
  <c r="S82" i="5" s="1"/>
  <c r="T82" i="5" s="1"/>
  <c r="U82" i="5" s="1"/>
  <c r="V82" i="5" s="1"/>
  <c r="W82" i="5" s="1"/>
  <c r="D78" i="5"/>
  <c r="E78" i="5" s="1"/>
  <c r="F78" i="5" s="1"/>
  <c r="G78" i="5" s="1"/>
  <c r="H78" i="5" s="1"/>
  <c r="I78" i="5" s="1"/>
  <c r="J78" i="5" s="1"/>
  <c r="K78" i="5" s="1"/>
  <c r="L78" i="5" s="1"/>
  <c r="M78" i="5" s="1"/>
  <c r="N78" i="5" s="1"/>
  <c r="O78" i="5" s="1"/>
  <c r="P78" i="5" s="1"/>
  <c r="Q78" i="5" s="1"/>
  <c r="R78" i="5" s="1"/>
  <c r="S78" i="5" s="1"/>
  <c r="T78" i="5" s="1"/>
  <c r="U78" i="5" s="1"/>
  <c r="V78" i="5" s="1"/>
  <c r="W78" i="5" s="1"/>
  <c r="D83" i="5"/>
  <c r="E83" i="5" s="1"/>
  <c r="F83" i="5" s="1"/>
  <c r="G83" i="5" s="1"/>
  <c r="H83" i="5" s="1"/>
  <c r="I83" i="5" s="1"/>
  <c r="J83" i="5" s="1"/>
  <c r="K83" i="5" s="1"/>
  <c r="L83" i="5" s="1"/>
  <c r="M83" i="5" s="1"/>
  <c r="N83" i="5" s="1"/>
  <c r="O83" i="5" s="1"/>
  <c r="P83" i="5" s="1"/>
  <c r="Q83" i="5" s="1"/>
  <c r="R83" i="5" s="1"/>
  <c r="S83" i="5" s="1"/>
  <c r="T83" i="5" s="1"/>
  <c r="U83" i="5" s="1"/>
  <c r="V83" i="5" s="1"/>
  <c r="W83" i="5" s="1"/>
  <c r="D81" i="5"/>
  <c r="E81" i="5" s="1"/>
  <c r="F81" i="5" s="1"/>
  <c r="G81" i="5" s="1"/>
  <c r="H81" i="5" s="1"/>
  <c r="I81" i="5" s="1"/>
  <c r="J81" i="5" s="1"/>
  <c r="K81" i="5" s="1"/>
  <c r="L81" i="5" s="1"/>
  <c r="M81" i="5" s="1"/>
  <c r="N81" i="5" s="1"/>
  <c r="O81" i="5" s="1"/>
  <c r="P81" i="5" s="1"/>
  <c r="Q81" i="5" s="1"/>
  <c r="R81" i="5" s="1"/>
  <c r="S81" i="5" s="1"/>
  <c r="T81" i="5" s="1"/>
  <c r="U81" i="5" s="1"/>
  <c r="V81" i="5" s="1"/>
  <c r="W81" i="5" s="1"/>
  <c r="D77" i="5"/>
  <c r="E77" i="5" s="1"/>
  <c r="F77" i="5" s="1"/>
  <c r="G77" i="5" s="1"/>
  <c r="H77" i="5" s="1"/>
  <c r="I77" i="5" s="1"/>
  <c r="J77" i="5" s="1"/>
  <c r="K77" i="5" s="1"/>
  <c r="L77" i="5" s="1"/>
  <c r="M77" i="5" s="1"/>
  <c r="N77" i="5" s="1"/>
  <c r="O77" i="5" s="1"/>
  <c r="P77" i="5" s="1"/>
  <c r="Q77" i="5" s="1"/>
  <c r="R77" i="5" s="1"/>
  <c r="S77" i="5" s="1"/>
  <c r="T77" i="5" s="1"/>
  <c r="U77" i="5" s="1"/>
  <c r="V77" i="5" s="1"/>
  <c r="W77" i="5" s="1"/>
  <c r="D73" i="5"/>
  <c r="E73" i="5" s="1"/>
  <c r="F73" i="5" s="1"/>
  <c r="G73" i="5" s="1"/>
  <c r="H73" i="5" s="1"/>
  <c r="I73" i="5" s="1"/>
  <c r="J73" i="5" s="1"/>
  <c r="K73" i="5" s="1"/>
  <c r="L73" i="5" s="1"/>
  <c r="M73" i="5" s="1"/>
  <c r="N73" i="5" s="1"/>
  <c r="O73" i="5" s="1"/>
  <c r="P73" i="5" s="1"/>
  <c r="Q73" i="5" s="1"/>
  <c r="R73" i="5" s="1"/>
  <c r="S73" i="5" s="1"/>
  <c r="T73" i="5" s="1"/>
  <c r="U73" i="5" s="1"/>
  <c r="V73" i="5" s="1"/>
  <c r="W73" i="5" s="1"/>
  <c r="D80" i="5"/>
  <c r="E80" i="5" s="1"/>
  <c r="F80" i="5" s="1"/>
  <c r="G80" i="5" s="1"/>
  <c r="H80" i="5" s="1"/>
  <c r="I80" i="5" s="1"/>
  <c r="J80" i="5" s="1"/>
  <c r="K80" i="5" s="1"/>
  <c r="L80" i="5" s="1"/>
  <c r="M80" i="5" s="1"/>
  <c r="N80" i="5" s="1"/>
  <c r="O80" i="5" s="1"/>
  <c r="P80" i="5" s="1"/>
  <c r="Q80" i="5" s="1"/>
  <c r="R80" i="5" s="1"/>
  <c r="S80" i="5" s="1"/>
  <c r="T80" i="5" s="1"/>
  <c r="U80" i="5" s="1"/>
  <c r="V80" i="5" s="1"/>
  <c r="W80" i="5" s="1"/>
  <c r="D75" i="5"/>
  <c r="E75" i="5" s="1"/>
  <c r="F75" i="5" s="1"/>
  <c r="G75" i="5" s="1"/>
  <c r="H75" i="5" s="1"/>
  <c r="I75" i="5" s="1"/>
  <c r="J75" i="5" s="1"/>
  <c r="K75" i="5" s="1"/>
  <c r="L75" i="5" s="1"/>
  <c r="M75" i="5" s="1"/>
  <c r="N75" i="5" s="1"/>
  <c r="O75" i="5" s="1"/>
  <c r="P75" i="5" s="1"/>
  <c r="Q75" i="5" s="1"/>
  <c r="R75" i="5" s="1"/>
  <c r="S75" i="5" s="1"/>
  <c r="T75" i="5" s="1"/>
  <c r="U75" i="5" s="1"/>
  <c r="V75" i="5" s="1"/>
  <c r="W75" i="5" s="1"/>
  <c r="X75" i="5" s="1"/>
  <c r="D71" i="5"/>
  <c r="E71" i="5" s="1"/>
  <c r="F71" i="5" s="1"/>
  <c r="G71" i="5" s="1"/>
  <c r="H71" i="5" s="1"/>
  <c r="I71" i="5" s="1"/>
  <c r="J71" i="5" s="1"/>
  <c r="K71" i="5" s="1"/>
  <c r="L71" i="5" s="1"/>
  <c r="M71" i="5" s="1"/>
  <c r="N71" i="5" s="1"/>
  <c r="O71" i="5" s="1"/>
  <c r="P71" i="5" s="1"/>
  <c r="Q71" i="5" s="1"/>
  <c r="R71" i="5" s="1"/>
  <c r="S71" i="5" s="1"/>
  <c r="T71" i="5" s="1"/>
  <c r="U71" i="5" s="1"/>
  <c r="V71" i="5" s="1"/>
  <c r="W71" i="5" s="1"/>
  <c r="D70" i="5"/>
  <c r="E70" i="5" s="1"/>
  <c r="F70" i="5" s="1"/>
  <c r="G70" i="5" s="1"/>
  <c r="H70" i="5" s="1"/>
  <c r="I70" i="5" s="1"/>
  <c r="J70" i="5" s="1"/>
  <c r="K70" i="5" s="1"/>
  <c r="L70" i="5" s="1"/>
  <c r="M70" i="5" s="1"/>
  <c r="N70" i="5" s="1"/>
  <c r="O70" i="5" s="1"/>
  <c r="P70" i="5" s="1"/>
  <c r="Q70" i="5" s="1"/>
  <c r="R70" i="5" s="1"/>
  <c r="S70" i="5" s="1"/>
  <c r="T70" i="5" s="1"/>
  <c r="U70" i="5" s="1"/>
  <c r="V70" i="5" s="1"/>
  <c r="W70" i="5" s="1"/>
  <c r="D67" i="5"/>
  <c r="E67" i="5" s="1"/>
  <c r="F67" i="5" s="1"/>
  <c r="G67" i="5" s="1"/>
  <c r="H67" i="5" s="1"/>
  <c r="I67" i="5" s="1"/>
  <c r="J67" i="5" s="1"/>
  <c r="K67" i="5" s="1"/>
  <c r="L67" i="5" s="1"/>
  <c r="M67" i="5" s="1"/>
  <c r="N67" i="5" s="1"/>
  <c r="O67" i="5" s="1"/>
  <c r="P67" i="5" s="1"/>
  <c r="Q67" i="5" s="1"/>
  <c r="R67" i="5" s="1"/>
  <c r="S67" i="5" s="1"/>
  <c r="T67" i="5" s="1"/>
  <c r="U67" i="5" s="1"/>
  <c r="V67" i="5" s="1"/>
  <c r="W67" i="5" s="1"/>
  <c r="D74" i="5"/>
  <c r="E74" i="5" s="1"/>
  <c r="F74" i="5" s="1"/>
  <c r="G74" i="5" s="1"/>
  <c r="H74" i="5" s="1"/>
  <c r="I74" i="5" s="1"/>
  <c r="J74" i="5" s="1"/>
  <c r="K74" i="5" s="1"/>
  <c r="L74" i="5" s="1"/>
  <c r="M74" i="5" s="1"/>
  <c r="N74" i="5" s="1"/>
  <c r="O74" i="5" s="1"/>
  <c r="P74" i="5" s="1"/>
  <c r="Q74" i="5" s="1"/>
  <c r="R74" i="5" s="1"/>
  <c r="S74" i="5" s="1"/>
  <c r="T74" i="5" s="1"/>
  <c r="U74" i="5" s="1"/>
  <c r="V74" i="5" s="1"/>
  <c r="W74" i="5" s="1"/>
  <c r="D72" i="5"/>
  <c r="E72" i="5" s="1"/>
  <c r="F72" i="5" s="1"/>
  <c r="G72" i="5" s="1"/>
  <c r="H72" i="5" s="1"/>
  <c r="I72" i="5" s="1"/>
  <c r="J72" i="5" s="1"/>
  <c r="K72" i="5" s="1"/>
  <c r="L72" i="5" s="1"/>
  <c r="M72" i="5" s="1"/>
  <c r="N72" i="5" s="1"/>
  <c r="O72" i="5" s="1"/>
  <c r="P72" i="5" s="1"/>
  <c r="Q72" i="5" s="1"/>
  <c r="R72" i="5" s="1"/>
  <c r="S72" i="5" s="1"/>
  <c r="T72" i="5" s="1"/>
  <c r="U72" i="5" s="1"/>
  <c r="V72" i="5" s="1"/>
  <c r="W72" i="5" s="1"/>
  <c r="D76" i="5"/>
  <c r="E76" i="5" s="1"/>
  <c r="F76" i="5" s="1"/>
  <c r="G76" i="5" s="1"/>
  <c r="H76" i="5" s="1"/>
  <c r="I76" i="5" s="1"/>
  <c r="J76" i="5" s="1"/>
  <c r="K76" i="5" s="1"/>
  <c r="L76" i="5" s="1"/>
  <c r="M76" i="5" s="1"/>
  <c r="N76" i="5" s="1"/>
  <c r="O76" i="5" s="1"/>
  <c r="P76" i="5" s="1"/>
  <c r="Q76" i="5" s="1"/>
  <c r="R76" i="5" s="1"/>
  <c r="S76" i="5" s="1"/>
  <c r="T76" i="5" s="1"/>
  <c r="U76" i="5" s="1"/>
  <c r="V76" i="5" s="1"/>
  <c r="W76" i="5" s="1"/>
  <c r="D69" i="5"/>
  <c r="E69" i="5" s="1"/>
  <c r="F69" i="5" s="1"/>
  <c r="G69" i="5" s="1"/>
  <c r="H69" i="5" s="1"/>
  <c r="I69" i="5" s="1"/>
  <c r="J69" i="5" s="1"/>
  <c r="K69" i="5" s="1"/>
  <c r="L69" i="5" s="1"/>
  <c r="M69" i="5" s="1"/>
  <c r="N69" i="5" s="1"/>
  <c r="O69" i="5" s="1"/>
  <c r="P69" i="5" s="1"/>
  <c r="Q69" i="5" s="1"/>
  <c r="R69" i="5" s="1"/>
  <c r="S69" i="5" s="1"/>
  <c r="T69" i="5" s="1"/>
  <c r="U69" i="5" s="1"/>
  <c r="V69" i="5" s="1"/>
  <c r="W69" i="5" s="1"/>
  <c r="D68" i="5"/>
  <c r="E68" i="5" s="1"/>
  <c r="F68" i="5" s="1"/>
  <c r="G68" i="5" s="1"/>
  <c r="H68" i="5" s="1"/>
  <c r="I68" i="5" s="1"/>
  <c r="J68" i="5" s="1"/>
  <c r="K68" i="5" s="1"/>
  <c r="L68" i="5" s="1"/>
  <c r="M68" i="5" s="1"/>
  <c r="N68" i="5" s="1"/>
  <c r="O68" i="5" s="1"/>
  <c r="P68" i="5" s="1"/>
  <c r="Q68" i="5" s="1"/>
  <c r="R68" i="5" s="1"/>
  <c r="S68" i="5" s="1"/>
  <c r="T68" i="5" s="1"/>
  <c r="U68" i="5" s="1"/>
  <c r="V68" i="5" s="1"/>
  <c r="W68" i="5" s="1"/>
  <c r="X68" i="5" s="1"/>
  <c r="Z64" i="5"/>
  <c r="Y62" i="5"/>
  <c r="AP8" i="18"/>
  <c r="AP1" i="18"/>
  <c r="AP7" i="18"/>
  <c r="AO13" i="18"/>
  <c r="AO14" i="18" s="1"/>
  <c r="E39" i="29"/>
  <c r="E55" i="29"/>
  <c r="D55" i="29"/>
  <c r="I31" i="29"/>
  <c r="H27" i="29"/>
  <c r="M19" i="29"/>
  <c r="E54" i="29"/>
  <c r="I35" i="29"/>
  <c r="H31" i="29"/>
  <c r="G27" i="29"/>
  <c r="B6" i="29"/>
  <c r="D54" i="29"/>
  <c r="E53" i="29"/>
  <c r="H39" i="29"/>
  <c r="G35" i="29"/>
  <c r="E31" i="29"/>
  <c r="D53" i="29"/>
  <c r="G39" i="29"/>
  <c r="E35" i="29"/>
  <c r="I39" i="29"/>
  <c r="E27" i="29"/>
  <c r="D58" i="29" s="1"/>
  <c r="G31" i="29"/>
  <c r="H35" i="29"/>
  <c r="H43" i="22"/>
  <c r="I27" i="29"/>
  <c r="C7" i="18"/>
  <c r="C87" i="29"/>
  <c r="C89" i="29" s="1"/>
  <c r="B82" i="29"/>
  <c r="B83" i="29" s="1"/>
  <c r="D61" i="5"/>
  <c r="E61" i="5" s="1"/>
  <c r="F61" i="5" s="1"/>
  <c r="G61" i="5" s="1"/>
  <c r="H61" i="5" s="1"/>
  <c r="I61" i="5" s="1"/>
  <c r="J61" i="5" s="1"/>
  <c r="K61" i="5" s="1"/>
  <c r="L61" i="5" s="1"/>
  <c r="M61" i="5" s="1"/>
  <c r="N61" i="5" s="1"/>
  <c r="O61" i="5" s="1"/>
  <c r="P61" i="5" s="1"/>
  <c r="Q61" i="5" s="1"/>
  <c r="R61" i="5" s="1"/>
  <c r="S61" i="5" s="1"/>
  <c r="T61" i="5" s="1"/>
  <c r="U61" i="5" s="1"/>
  <c r="V61" i="5" s="1"/>
  <c r="W61" i="5" s="1"/>
  <c r="D58" i="5"/>
  <c r="E58" i="5" s="1"/>
  <c r="F58" i="5" s="1"/>
  <c r="G58" i="5" s="1"/>
  <c r="H58" i="5" s="1"/>
  <c r="I58" i="5" s="1"/>
  <c r="J58" i="5" s="1"/>
  <c r="K58" i="5" s="1"/>
  <c r="L58" i="5" s="1"/>
  <c r="M58" i="5" s="1"/>
  <c r="N58" i="5" s="1"/>
  <c r="O58" i="5" s="1"/>
  <c r="P58" i="5" s="1"/>
  <c r="Q58" i="5" s="1"/>
  <c r="R58" i="5" s="1"/>
  <c r="S58" i="5" s="1"/>
  <c r="T58" i="5" s="1"/>
  <c r="U58" i="5" s="1"/>
  <c r="V58" i="5" s="1"/>
  <c r="W58" i="5" s="1"/>
  <c r="D59" i="5"/>
  <c r="E59" i="5" s="1"/>
  <c r="F59" i="5" s="1"/>
  <c r="G59" i="5" s="1"/>
  <c r="H59" i="5" s="1"/>
  <c r="I59" i="5" s="1"/>
  <c r="J59" i="5" s="1"/>
  <c r="K59" i="5" s="1"/>
  <c r="L59" i="5" s="1"/>
  <c r="M59" i="5" s="1"/>
  <c r="N59" i="5" s="1"/>
  <c r="O59" i="5" s="1"/>
  <c r="P59" i="5" s="1"/>
  <c r="Q59" i="5" s="1"/>
  <c r="R59" i="5" s="1"/>
  <c r="S59" i="5" s="1"/>
  <c r="T59" i="5" s="1"/>
  <c r="U59" i="5" s="1"/>
  <c r="V59" i="5" s="1"/>
  <c r="W59" i="5" s="1"/>
  <c r="D60" i="5"/>
  <c r="E60" i="5" s="1"/>
  <c r="F60" i="5" s="1"/>
  <c r="G60" i="5" s="1"/>
  <c r="H60" i="5" s="1"/>
  <c r="I60" i="5" s="1"/>
  <c r="J60" i="5" s="1"/>
  <c r="K60" i="5" s="1"/>
  <c r="L60" i="5" s="1"/>
  <c r="M60" i="5" s="1"/>
  <c r="N60" i="5" s="1"/>
  <c r="O60" i="5" s="1"/>
  <c r="P60" i="5" s="1"/>
  <c r="Q60" i="5" s="1"/>
  <c r="R60" i="5" s="1"/>
  <c r="S60" i="5" s="1"/>
  <c r="T60" i="5" s="1"/>
  <c r="U60" i="5" s="1"/>
  <c r="V60" i="5" s="1"/>
  <c r="W60" i="5" s="1"/>
  <c r="D21" i="5"/>
  <c r="E21" i="5" s="1"/>
  <c r="F21" i="5" s="1"/>
  <c r="G21" i="5" s="1"/>
  <c r="H21" i="5" s="1"/>
  <c r="I21" i="5" s="1"/>
  <c r="J21" i="5" s="1"/>
  <c r="K21" i="5" s="1"/>
  <c r="L21" i="5" s="1"/>
  <c r="M21" i="5" s="1"/>
  <c r="N21" i="5" s="1"/>
  <c r="O21" i="5" s="1"/>
  <c r="P21" i="5" s="1"/>
  <c r="Q21" i="5" s="1"/>
  <c r="R21" i="5" s="1"/>
  <c r="S21" i="5" s="1"/>
  <c r="T21" i="5" s="1"/>
  <c r="U21" i="5" s="1"/>
  <c r="V21" i="5" s="1"/>
  <c r="W21" i="5" s="1"/>
  <c r="D17" i="5"/>
  <c r="E17" i="5" s="1"/>
  <c r="F17" i="5" s="1"/>
  <c r="G17" i="5" s="1"/>
  <c r="H17" i="5" s="1"/>
  <c r="I17" i="5" s="1"/>
  <c r="J17" i="5" s="1"/>
  <c r="K17" i="5" s="1"/>
  <c r="L17" i="5" s="1"/>
  <c r="M17" i="5" s="1"/>
  <c r="N17" i="5" s="1"/>
  <c r="O17" i="5" s="1"/>
  <c r="P17" i="5" s="1"/>
  <c r="Q17" i="5" s="1"/>
  <c r="R17" i="5" s="1"/>
  <c r="S17" i="5" s="1"/>
  <c r="T17" i="5" s="1"/>
  <c r="U17" i="5" s="1"/>
  <c r="V17" i="5" s="1"/>
  <c r="W17" i="5" s="1"/>
  <c r="D20" i="5"/>
  <c r="E20" i="5" s="1"/>
  <c r="F20" i="5" s="1"/>
  <c r="G20" i="5" s="1"/>
  <c r="H20" i="5" s="1"/>
  <c r="I20" i="5" s="1"/>
  <c r="J20" i="5" s="1"/>
  <c r="K20" i="5" s="1"/>
  <c r="L20" i="5" s="1"/>
  <c r="M20" i="5" s="1"/>
  <c r="N20" i="5" s="1"/>
  <c r="O20" i="5" s="1"/>
  <c r="P20" i="5" s="1"/>
  <c r="Q20" i="5" s="1"/>
  <c r="R20" i="5" s="1"/>
  <c r="S20" i="5" s="1"/>
  <c r="T20" i="5" s="1"/>
  <c r="U20" i="5" s="1"/>
  <c r="V20" i="5" s="1"/>
  <c r="W20" i="5" s="1"/>
  <c r="D16" i="5"/>
  <c r="E16" i="5" s="1"/>
  <c r="F16" i="5" s="1"/>
  <c r="G16" i="5" s="1"/>
  <c r="H16" i="5" s="1"/>
  <c r="I16" i="5" s="1"/>
  <c r="J16" i="5" s="1"/>
  <c r="K16" i="5" s="1"/>
  <c r="L16" i="5" s="1"/>
  <c r="M16" i="5" s="1"/>
  <c r="N16" i="5" s="1"/>
  <c r="O16" i="5" s="1"/>
  <c r="P16" i="5" s="1"/>
  <c r="Q16" i="5" s="1"/>
  <c r="R16" i="5" s="1"/>
  <c r="S16" i="5" s="1"/>
  <c r="T16" i="5" s="1"/>
  <c r="U16" i="5" s="1"/>
  <c r="V16" i="5" s="1"/>
  <c r="W16" i="5" s="1"/>
  <c r="D19" i="5"/>
  <c r="E19" i="5" s="1"/>
  <c r="F19" i="5" s="1"/>
  <c r="G19" i="5" s="1"/>
  <c r="H19" i="5" s="1"/>
  <c r="I19" i="5" s="1"/>
  <c r="J19" i="5" s="1"/>
  <c r="K19" i="5" s="1"/>
  <c r="L19" i="5" s="1"/>
  <c r="M19" i="5" s="1"/>
  <c r="N19" i="5" s="1"/>
  <c r="O19" i="5" s="1"/>
  <c r="P19" i="5" s="1"/>
  <c r="Q19" i="5" s="1"/>
  <c r="R19" i="5" s="1"/>
  <c r="S19" i="5" s="1"/>
  <c r="T19" i="5" s="1"/>
  <c r="U19" i="5" s="1"/>
  <c r="V19" i="5" s="1"/>
  <c r="W19" i="5" s="1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D12" i="5"/>
  <c r="E12" i="5" s="1"/>
  <c r="F12" i="5" s="1"/>
  <c r="G12" i="5" s="1"/>
  <c r="H12" i="5" s="1"/>
  <c r="I12" i="5" s="1"/>
  <c r="J12" i="5" s="1"/>
  <c r="K12" i="5" s="1"/>
  <c r="L12" i="5" s="1"/>
  <c r="M12" i="5" s="1"/>
  <c r="N12" i="5" s="1"/>
  <c r="O12" i="5" s="1"/>
  <c r="P12" i="5" s="1"/>
  <c r="Q12" i="5" s="1"/>
  <c r="R12" i="5" s="1"/>
  <c r="S12" i="5" s="1"/>
  <c r="T12" i="5" s="1"/>
  <c r="U12" i="5" s="1"/>
  <c r="V12" i="5" s="1"/>
  <c r="W12" i="5" s="1"/>
  <c r="D18" i="5"/>
  <c r="E18" i="5" s="1"/>
  <c r="F18" i="5" s="1"/>
  <c r="G18" i="5" s="1"/>
  <c r="H18" i="5" s="1"/>
  <c r="I18" i="5" s="1"/>
  <c r="J18" i="5" s="1"/>
  <c r="K18" i="5" s="1"/>
  <c r="L18" i="5" s="1"/>
  <c r="M18" i="5" s="1"/>
  <c r="N18" i="5" s="1"/>
  <c r="O18" i="5" s="1"/>
  <c r="P18" i="5" s="1"/>
  <c r="Q18" i="5" s="1"/>
  <c r="R18" i="5" s="1"/>
  <c r="S18" i="5" s="1"/>
  <c r="T18" i="5" s="1"/>
  <c r="U18" i="5" s="1"/>
  <c r="V18" i="5" s="1"/>
  <c r="W18" i="5" s="1"/>
  <c r="D14" i="5"/>
  <c r="E14" i="5" s="1"/>
  <c r="F14" i="5" s="1"/>
  <c r="G14" i="5" s="1"/>
  <c r="H14" i="5" s="1"/>
  <c r="I14" i="5" s="1"/>
  <c r="J14" i="5" s="1"/>
  <c r="K14" i="5" s="1"/>
  <c r="L14" i="5" s="1"/>
  <c r="M14" i="5" s="1"/>
  <c r="N14" i="5" s="1"/>
  <c r="O14" i="5" s="1"/>
  <c r="P14" i="5" s="1"/>
  <c r="Q14" i="5" s="1"/>
  <c r="R14" i="5" s="1"/>
  <c r="S14" i="5" s="1"/>
  <c r="T14" i="5" s="1"/>
  <c r="U14" i="5" s="1"/>
  <c r="V14" i="5" s="1"/>
  <c r="W14" i="5" s="1"/>
  <c r="D13" i="5"/>
  <c r="E13" i="5" s="1"/>
  <c r="F13" i="5" s="1"/>
  <c r="G13" i="5" s="1"/>
  <c r="H13" i="5" s="1"/>
  <c r="I13" i="5" s="1"/>
  <c r="J13" i="5" s="1"/>
  <c r="K13" i="5" s="1"/>
  <c r="L13" i="5" s="1"/>
  <c r="M13" i="5" s="1"/>
  <c r="N13" i="5" s="1"/>
  <c r="O13" i="5" s="1"/>
  <c r="P13" i="5" s="1"/>
  <c r="Q13" i="5" s="1"/>
  <c r="R13" i="5" s="1"/>
  <c r="S13" i="5" s="1"/>
  <c r="T13" i="5" s="1"/>
  <c r="U13" i="5" s="1"/>
  <c r="V13" i="5" s="1"/>
  <c r="W13" i="5" s="1"/>
  <c r="D22" i="5"/>
  <c r="E22" i="5" s="1"/>
  <c r="F22" i="5" s="1"/>
  <c r="G22" i="5" s="1"/>
  <c r="H22" i="5" s="1"/>
  <c r="I22" i="5" s="1"/>
  <c r="J22" i="5" s="1"/>
  <c r="K22" i="5" s="1"/>
  <c r="L22" i="5" s="1"/>
  <c r="M22" i="5" s="1"/>
  <c r="N22" i="5" s="1"/>
  <c r="O22" i="5" s="1"/>
  <c r="P22" i="5" s="1"/>
  <c r="Q22" i="5" s="1"/>
  <c r="R22" i="5" s="1"/>
  <c r="S22" i="5" s="1"/>
  <c r="T22" i="5" s="1"/>
  <c r="U22" i="5" s="1"/>
  <c r="V22" i="5" s="1"/>
  <c r="W22" i="5" s="1"/>
  <c r="D23" i="5"/>
  <c r="E23" i="5" s="1"/>
  <c r="F23" i="5" s="1"/>
  <c r="G23" i="5" s="1"/>
  <c r="H23" i="5" s="1"/>
  <c r="I23" i="5" s="1"/>
  <c r="J23" i="5" s="1"/>
  <c r="K23" i="5" s="1"/>
  <c r="L23" i="5" s="1"/>
  <c r="M23" i="5" s="1"/>
  <c r="N23" i="5" s="1"/>
  <c r="O23" i="5" s="1"/>
  <c r="P23" i="5" s="1"/>
  <c r="Q23" i="5" s="1"/>
  <c r="R23" i="5" s="1"/>
  <c r="S23" i="5" s="1"/>
  <c r="T23" i="5" s="1"/>
  <c r="U23" i="5" s="1"/>
  <c r="V23" i="5" s="1"/>
  <c r="W23" i="5" s="1"/>
  <c r="D24" i="5"/>
  <c r="E24" i="5" s="1"/>
  <c r="F24" i="5" s="1"/>
  <c r="G24" i="5" s="1"/>
  <c r="H24" i="5" s="1"/>
  <c r="I24" i="5" s="1"/>
  <c r="J24" i="5" s="1"/>
  <c r="K24" i="5" s="1"/>
  <c r="L24" i="5" s="1"/>
  <c r="M24" i="5" s="1"/>
  <c r="N24" i="5" s="1"/>
  <c r="O24" i="5" s="1"/>
  <c r="P24" i="5" s="1"/>
  <c r="Q24" i="5" s="1"/>
  <c r="R24" i="5" s="1"/>
  <c r="S24" i="5" s="1"/>
  <c r="T24" i="5" s="1"/>
  <c r="U24" i="5" s="1"/>
  <c r="V24" i="5" s="1"/>
  <c r="W24" i="5" s="1"/>
  <c r="D25" i="5"/>
  <c r="E25" i="5" s="1"/>
  <c r="F25" i="5" s="1"/>
  <c r="G25" i="5" s="1"/>
  <c r="H25" i="5" s="1"/>
  <c r="I25" i="5" s="1"/>
  <c r="J25" i="5" s="1"/>
  <c r="K25" i="5" s="1"/>
  <c r="L25" i="5" s="1"/>
  <c r="M25" i="5" s="1"/>
  <c r="N25" i="5" s="1"/>
  <c r="O25" i="5" s="1"/>
  <c r="P25" i="5" s="1"/>
  <c r="Q25" i="5" s="1"/>
  <c r="R25" i="5" s="1"/>
  <c r="S25" i="5" s="1"/>
  <c r="T25" i="5" s="1"/>
  <c r="U25" i="5" s="1"/>
  <c r="V25" i="5" s="1"/>
  <c r="W25" i="5" s="1"/>
  <c r="D26" i="5"/>
  <c r="E26" i="5" s="1"/>
  <c r="F26" i="5" s="1"/>
  <c r="G26" i="5" s="1"/>
  <c r="H26" i="5" s="1"/>
  <c r="I26" i="5" s="1"/>
  <c r="J26" i="5" s="1"/>
  <c r="K26" i="5" s="1"/>
  <c r="L26" i="5" s="1"/>
  <c r="M26" i="5" s="1"/>
  <c r="N26" i="5" s="1"/>
  <c r="O26" i="5" s="1"/>
  <c r="P26" i="5" s="1"/>
  <c r="Q26" i="5" s="1"/>
  <c r="R26" i="5" s="1"/>
  <c r="S26" i="5" s="1"/>
  <c r="T26" i="5" s="1"/>
  <c r="U26" i="5" s="1"/>
  <c r="V26" i="5" s="1"/>
  <c r="W26" i="5" s="1"/>
  <c r="D27" i="5"/>
  <c r="E27" i="5" s="1"/>
  <c r="F27" i="5" s="1"/>
  <c r="G27" i="5" s="1"/>
  <c r="H27" i="5" s="1"/>
  <c r="I27" i="5" s="1"/>
  <c r="J27" i="5" s="1"/>
  <c r="K27" i="5" s="1"/>
  <c r="L27" i="5" s="1"/>
  <c r="M27" i="5" s="1"/>
  <c r="N27" i="5" s="1"/>
  <c r="O27" i="5" s="1"/>
  <c r="P27" i="5" s="1"/>
  <c r="Q27" i="5" s="1"/>
  <c r="R27" i="5" s="1"/>
  <c r="S27" i="5" s="1"/>
  <c r="T27" i="5" s="1"/>
  <c r="U27" i="5" s="1"/>
  <c r="V27" i="5" s="1"/>
  <c r="W27" i="5" s="1"/>
  <c r="D28" i="5"/>
  <c r="E28" i="5" s="1"/>
  <c r="F28" i="5" s="1"/>
  <c r="G28" i="5" s="1"/>
  <c r="H28" i="5" s="1"/>
  <c r="I28" i="5" s="1"/>
  <c r="J28" i="5" s="1"/>
  <c r="K28" i="5" s="1"/>
  <c r="L28" i="5" s="1"/>
  <c r="M28" i="5" s="1"/>
  <c r="N28" i="5" s="1"/>
  <c r="O28" i="5" s="1"/>
  <c r="P28" i="5" s="1"/>
  <c r="Q28" i="5" s="1"/>
  <c r="R28" i="5" s="1"/>
  <c r="S28" i="5" s="1"/>
  <c r="T28" i="5" s="1"/>
  <c r="U28" i="5" s="1"/>
  <c r="V28" i="5" s="1"/>
  <c r="W28" i="5" s="1"/>
  <c r="D29" i="5"/>
  <c r="E29" i="5" s="1"/>
  <c r="F29" i="5" s="1"/>
  <c r="G29" i="5" s="1"/>
  <c r="H29" i="5" s="1"/>
  <c r="I29" i="5" s="1"/>
  <c r="J29" i="5" s="1"/>
  <c r="K29" i="5" s="1"/>
  <c r="L29" i="5" s="1"/>
  <c r="M29" i="5" s="1"/>
  <c r="N29" i="5" s="1"/>
  <c r="O29" i="5" s="1"/>
  <c r="P29" i="5" s="1"/>
  <c r="Q29" i="5" s="1"/>
  <c r="R29" i="5" s="1"/>
  <c r="S29" i="5" s="1"/>
  <c r="T29" i="5" s="1"/>
  <c r="U29" i="5" s="1"/>
  <c r="V29" i="5" s="1"/>
  <c r="W29" i="5" s="1"/>
  <c r="D30" i="5"/>
  <c r="E30" i="5" s="1"/>
  <c r="F30" i="5" s="1"/>
  <c r="G30" i="5" s="1"/>
  <c r="H30" i="5" s="1"/>
  <c r="I30" i="5" s="1"/>
  <c r="J30" i="5" s="1"/>
  <c r="K30" i="5" s="1"/>
  <c r="L30" i="5" s="1"/>
  <c r="M30" i="5" s="1"/>
  <c r="N30" i="5" s="1"/>
  <c r="O30" i="5" s="1"/>
  <c r="P30" i="5" s="1"/>
  <c r="Q30" i="5" s="1"/>
  <c r="R30" i="5" s="1"/>
  <c r="S30" i="5" s="1"/>
  <c r="T30" i="5" s="1"/>
  <c r="U30" i="5" s="1"/>
  <c r="V30" i="5" s="1"/>
  <c r="W30" i="5" s="1"/>
  <c r="D31" i="5"/>
  <c r="E31" i="5" s="1"/>
  <c r="F31" i="5" s="1"/>
  <c r="G31" i="5" s="1"/>
  <c r="H31" i="5" s="1"/>
  <c r="I31" i="5" s="1"/>
  <c r="J31" i="5" s="1"/>
  <c r="K31" i="5" s="1"/>
  <c r="L31" i="5" s="1"/>
  <c r="M31" i="5" s="1"/>
  <c r="N31" i="5" s="1"/>
  <c r="O31" i="5" s="1"/>
  <c r="P31" i="5" s="1"/>
  <c r="Q31" i="5" s="1"/>
  <c r="R31" i="5" s="1"/>
  <c r="S31" i="5" s="1"/>
  <c r="T31" i="5" s="1"/>
  <c r="U31" i="5" s="1"/>
  <c r="V31" i="5" s="1"/>
  <c r="W31" i="5" s="1"/>
  <c r="D32" i="5"/>
  <c r="E32" i="5" s="1"/>
  <c r="F32" i="5" s="1"/>
  <c r="G32" i="5" s="1"/>
  <c r="H32" i="5" s="1"/>
  <c r="I32" i="5" s="1"/>
  <c r="J32" i="5" s="1"/>
  <c r="K32" i="5" s="1"/>
  <c r="L32" i="5" s="1"/>
  <c r="M32" i="5" s="1"/>
  <c r="N32" i="5" s="1"/>
  <c r="O32" i="5" s="1"/>
  <c r="P32" i="5" s="1"/>
  <c r="Q32" i="5" s="1"/>
  <c r="R32" i="5" s="1"/>
  <c r="S32" i="5" s="1"/>
  <c r="T32" i="5" s="1"/>
  <c r="U32" i="5" s="1"/>
  <c r="V32" i="5" s="1"/>
  <c r="W32" i="5" s="1"/>
  <c r="D33" i="5"/>
  <c r="E33" i="5" s="1"/>
  <c r="F33" i="5" s="1"/>
  <c r="G33" i="5" s="1"/>
  <c r="H33" i="5" s="1"/>
  <c r="I33" i="5" s="1"/>
  <c r="J33" i="5" s="1"/>
  <c r="K33" i="5" s="1"/>
  <c r="L33" i="5" s="1"/>
  <c r="M33" i="5" s="1"/>
  <c r="N33" i="5" s="1"/>
  <c r="O33" i="5" s="1"/>
  <c r="P33" i="5" s="1"/>
  <c r="Q33" i="5" s="1"/>
  <c r="R33" i="5" s="1"/>
  <c r="S33" i="5" s="1"/>
  <c r="T33" i="5" s="1"/>
  <c r="U33" i="5" s="1"/>
  <c r="V33" i="5" s="1"/>
  <c r="W33" i="5" s="1"/>
  <c r="D34" i="5"/>
  <c r="E34" i="5" s="1"/>
  <c r="F34" i="5" s="1"/>
  <c r="G34" i="5" s="1"/>
  <c r="H34" i="5" s="1"/>
  <c r="I34" i="5" s="1"/>
  <c r="J34" i="5" s="1"/>
  <c r="K34" i="5" s="1"/>
  <c r="L34" i="5" s="1"/>
  <c r="M34" i="5" s="1"/>
  <c r="N34" i="5" s="1"/>
  <c r="O34" i="5" s="1"/>
  <c r="P34" i="5" s="1"/>
  <c r="Q34" i="5" s="1"/>
  <c r="R34" i="5" s="1"/>
  <c r="S34" i="5" s="1"/>
  <c r="T34" i="5" s="1"/>
  <c r="U34" i="5" s="1"/>
  <c r="V34" i="5" s="1"/>
  <c r="W34" i="5" s="1"/>
  <c r="D35" i="5"/>
  <c r="E35" i="5" s="1"/>
  <c r="F35" i="5" s="1"/>
  <c r="G35" i="5" s="1"/>
  <c r="H35" i="5" s="1"/>
  <c r="I35" i="5" s="1"/>
  <c r="J35" i="5" s="1"/>
  <c r="K35" i="5" s="1"/>
  <c r="L35" i="5" s="1"/>
  <c r="M35" i="5" s="1"/>
  <c r="N35" i="5" s="1"/>
  <c r="O35" i="5" s="1"/>
  <c r="P35" i="5" s="1"/>
  <c r="Q35" i="5" s="1"/>
  <c r="R35" i="5" s="1"/>
  <c r="S35" i="5" s="1"/>
  <c r="T35" i="5" s="1"/>
  <c r="U35" i="5" s="1"/>
  <c r="V35" i="5" s="1"/>
  <c r="W35" i="5" s="1"/>
  <c r="D36" i="5"/>
  <c r="E36" i="5" s="1"/>
  <c r="F36" i="5" s="1"/>
  <c r="G36" i="5" s="1"/>
  <c r="H36" i="5" s="1"/>
  <c r="I36" i="5" s="1"/>
  <c r="J36" i="5" s="1"/>
  <c r="K36" i="5" s="1"/>
  <c r="L36" i="5" s="1"/>
  <c r="M36" i="5" s="1"/>
  <c r="N36" i="5" s="1"/>
  <c r="O36" i="5" s="1"/>
  <c r="P36" i="5" s="1"/>
  <c r="Q36" i="5" s="1"/>
  <c r="R36" i="5" s="1"/>
  <c r="S36" i="5" s="1"/>
  <c r="T36" i="5" s="1"/>
  <c r="U36" i="5" s="1"/>
  <c r="V36" i="5" s="1"/>
  <c r="W36" i="5" s="1"/>
  <c r="D37" i="5"/>
  <c r="E37" i="5" s="1"/>
  <c r="F37" i="5" s="1"/>
  <c r="G37" i="5" s="1"/>
  <c r="H37" i="5" s="1"/>
  <c r="I37" i="5" s="1"/>
  <c r="J37" i="5" s="1"/>
  <c r="K37" i="5" s="1"/>
  <c r="L37" i="5" s="1"/>
  <c r="M37" i="5" s="1"/>
  <c r="N37" i="5" s="1"/>
  <c r="O37" i="5" s="1"/>
  <c r="P37" i="5" s="1"/>
  <c r="Q37" i="5" s="1"/>
  <c r="R37" i="5" s="1"/>
  <c r="S37" i="5" s="1"/>
  <c r="T37" i="5" s="1"/>
  <c r="U37" i="5" s="1"/>
  <c r="V37" i="5" s="1"/>
  <c r="W37" i="5" s="1"/>
  <c r="D38" i="5"/>
  <c r="E38" i="5" s="1"/>
  <c r="F38" i="5" s="1"/>
  <c r="G38" i="5" s="1"/>
  <c r="H38" i="5" s="1"/>
  <c r="I38" i="5" s="1"/>
  <c r="J38" i="5" s="1"/>
  <c r="K38" i="5" s="1"/>
  <c r="L38" i="5" s="1"/>
  <c r="M38" i="5" s="1"/>
  <c r="N38" i="5" s="1"/>
  <c r="O38" i="5" s="1"/>
  <c r="P38" i="5" s="1"/>
  <c r="Q38" i="5" s="1"/>
  <c r="R38" i="5" s="1"/>
  <c r="S38" i="5" s="1"/>
  <c r="T38" i="5" s="1"/>
  <c r="U38" i="5" s="1"/>
  <c r="V38" i="5" s="1"/>
  <c r="W38" i="5" s="1"/>
  <c r="D39" i="5"/>
  <c r="E39" i="5" s="1"/>
  <c r="F39" i="5" s="1"/>
  <c r="G39" i="5" s="1"/>
  <c r="H39" i="5" s="1"/>
  <c r="I39" i="5" s="1"/>
  <c r="J39" i="5" s="1"/>
  <c r="K39" i="5" s="1"/>
  <c r="L39" i="5" s="1"/>
  <c r="M39" i="5" s="1"/>
  <c r="N39" i="5" s="1"/>
  <c r="O39" i="5" s="1"/>
  <c r="P39" i="5" s="1"/>
  <c r="Q39" i="5" s="1"/>
  <c r="R39" i="5" s="1"/>
  <c r="S39" i="5" s="1"/>
  <c r="T39" i="5" s="1"/>
  <c r="U39" i="5" s="1"/>
  <c r="V39" i="5" s="1"/>
  <c r="W39" i="5" s="1"/>
  <c r="D40" i="5"/>
  <c r="E40" i="5" s="1"/>
  <c r="F40" i="5" s="1"/>
  <c r="G40" i="5" s="1"/>
  <c r="H40" i="5" s="1"/>
  <c r="I40" i="5" s="1"/>
  <c r="J40" i="5" s="1"/>
  <c r="K40" i="5" s="1"/>
  <c r="L40" i="5" s="1"/>
  <c r="M40" i="5" s="1"/>
  <c r="N40" i="5" s="1"/>
  <c r="O40" i="5" s="1"/>
  <c r="P40" i="5" s="1"/>
  <c r="Q40" i="5" s="1"/>
  <c r="R40" i="5" s="1"/>
  <c r="S40" i="5" s="1"/>
  <c r="T40" i="5" s="1"/>
  <c r="U40" i="5" s="1"/>
  <c r="V40" i="5" s="1"/>
  <c r="W40" i="5" s="1"/>
  <c r="D41" i="5"/>
  <c r="E41" i="5" s="1"/>
  <c r="F41" i="5" s="1"/>
  <c r="G41" i="5" s="1"/>
  <c r="H41" i="5" s="1"/>
  <c r="I41" i="5" s="1"/>
  <c r="J41" i="5" s="1"/>
  <c r="K41" i="5" s="1"/>
  <c r="L41" i="5" s="1"/>
  <c r="M41" i="5" s="1"/>
  <c r="N41" i="5" s="1"/>
  <c r="O41" i="5" s="1"/>
  <c r="P41" i="5" s="1"/>
  <c r="Q41" i="5" s="1"/>
  <c r="R41" i="5" s="1"/>
  <c r="S41" i="5" s="1"/>
  <c r="T41" i="5" s="1"/>
  <c r="U41" i="5" s="1"/>
  <c r="V41" i="5" s="1"/>
  <c r="W41" i="5" s="1"/>
  <c r="C44" i="5"/>
  <c r="D43" i="5"/>
  <c r="E43" i="5" s="1"/>
  <c r="F43" i="5" s="1"/>
  <c r="G43" i="5" s="1"/>
  <c r="H43" i="5" s="1"/>
  <c r="I43" i="5" s="1"/>
  <c r="J43" i="5" s="1"/>
  <c r="K43" i="5" s="1"/>
  <c r="L43" i="5" s="1"/>
  <c r="M43" i="5" s="1"/>
  <c r="N43" i="5" s="1"/>
  <c r="O43" i="5" s="1"/>
  <c r="P43" i="5" s="1"/>
  <c r="Q43" i="5" s="1"/>
  <c r="R43" i="5" s="1"/>
  <c r="S43" i="5" s="1"/>
  <c r="T43" i="5" s="1"/>
  <c r="U43" i="5" s="1"/>
  <c r="V43" i="5" s="1"/>
  <c r="W43" i="5" s="1"/>
  <c r="D83" i="29"/>
  <c r="B87" i="29"/>
  <c r="B89" i="29" s="1"/>
  <c r="X10" i="5"/>
  <c r="X8" i="5"/>
  <c r="X11" i="5"/>
  <c r="E80" i="56"/>
  <c r="E90" i="56"/>
  <c r="Z9" i="5"/>
  <c r="Y7" i="5"/>
  <c r="X71" i="5" l="1"/>
  <c r="D26" i="18"/>
  <c r="C26" i="18" s="1"/>
  <c r="X69" i="5"/>
  <c r="X80" i="5"/>
  <c r="X76" i="5"/>
  <c r="X72" i="5"/>
  <c r="X77" i="5"/>
  <c r="X67" i="5"/>
  <c r="X70" i="5"/>
  <c r="X74" i="5"/>
  <c r="X81" i="5"/>
  <c r="X78" i="5"/>
  <c r="X79" i="5"/>
  <c r="X73" i="5"/>
  <c r="X86" i="5"/>
  <c r="X82" i="5"/>
  <c r="X84" i="5"/>
  <c r="X83" i="5"/>
  <c r="G6" i="29"/>
  <c r="X38" i="5"/>
  <c r="X43" i="5"/>
  <c r="X41" i="5"/>
  <c r="X42" i="5"/>
  <c r="X40" i="5"/>
  <c r="X39" i="5"/>
  <c r="X37" i="5"/>
  <c r="X36" i="5"/>
  <c r="X29" i="5"/>
  <c r="X13" i="5"/>
  <c r="X17" i="5"/>
  <c r="D70" i="29"/>
  <c r="D71" i="29"/>
  <c r="X28" i="5"/>
  <c r="X14" i="5"/>
  <c r="X21" i="5"/>
  <c r="D16" i="18"/>
  <c r="C16" i="18" s="1"/>
  <c r="D12" i="18"/>
  <c r="C12" i="18" s="1"/>
  <c r="D25" i="18"/>
  <c r="C25" i="18" s="1"/>
  <c r="D23" i="18"/>
  <c r="C23" i="18" s="1"/>
  <c r="D21" i="18"/>
  <c r="C21" i="18" s="1"/>
  <c r="D10" i="18"/>
  <c r="D8" i="18"/>
  <c r="D15" i="18"/>
  <c r="C15" i="18" s="1"/>
  <c r="C8" i="18"/>
  <c r="D13" i="18"/>
  <c r="C13" i="18" s="1"/>
  <c r="D24" i="18"/>
  <c r="C24" i="18" s="1"/>
  <c r="D22" i="18"/>
  <c r="C22" i="18" s="1"/>
  <c r="D20" i="18"/>
  <c r="C20" i="18" s="1"/>
  <c r="D11" i="18"/>
  <c r="C11" i="18" s="1"/>
  <c r="D17" i="18"/>
  <c r="C17" i="18" s="1"/>
  <c r="D19" i="18"/>
  <c r="C19" i="18" s="1"/>
  <c r="D18" i="18"/>
  <c r="C18" i="18" s="1"/>
  <c r="D14" i="18"/>
  <c r="C14" i="18" s="1"/>
  <c r="AP4" i="18"/>
  <c r="AO5" i="18"/>
  <c r="X35" i="5"/>
  <c r="X27" i="5"/>
  <c r="X18" i="5"/>
  <c r="X60" i="5"/>
  <c r="I48" i="29"/>
  <c r="H48" i="29"/>
  <c r="Y8" i="5"/>
  <c r="Y11" i="5"/>
  <c r="Y10" i="5"/>
  <c r="Z7" i="5"/>
  <c r="AA9" i="5"/>
  <c r="D44" i="5"/>
  <c r="E44" i="5" s="1"/>
  <c r="F44" i="5" s="1"/>
  <c r="G44" i="5" s="1"/>
  <c r="H44" i="5" s="1"/>
  <c r="I44" i="5" s="1"/>
  <c r="J44" i="5" s="1"/>
  <c r="K44" i="5" s="1"/>
  <c r="L44" i="5" s="1"/>
  <c r="M44" i="5" s="1"/>
  <c r="N44" i="5" s="1"/>
  <c r="O44" i="5" s="1"/>
  <c r="P44" i="5" s="1"/>
  <c r="Q44" i="5" s="1"/>
  <c r="R44" i="5" s="1"/>
  <c r="S44" i="5" s="1"/>
  <c r="T44" i="5" s="1"/>
  <c r="U44" i="5" s="1"/>
  <c r="V44" i="5" s="1"/>
  <c r="W44" i="5" s="1"/>
  <c r="X44" i="5" s="1"/>
  <c r="C45" i="5"/>
  <c r="X34" i="5"/>
  <c r="X26" i="5"/>
  <c r="X12" i="5"/>
  <c r="X59" i="5"/>
  <c r="G48" i="29"/>
  <c r="AJ3" i="18"/>
  <c r="AB3" i="18"/>
  <c r="X33" i="5"/>
  <c r="X25" i="5"/>
  <c r="X15" i="5"/>
  <c r="X58" i="5"/>
  <c r="D59" i="29"/>
  <c r="E48" i="29"/>
  <c r="D60" i="29"/>
  <c r="D66" i="29"/>
  <c r="D64" i="29"/>
  <c r="D65" i="29"/>
  <c r="Y66" i="5"/>
  <c r="Y63" i="5"/>
  <c r="Y65" i="5"/>
  <c r="X32" i="5"/>
  <c r="X24" i="5"/>
  <c r="X19" i="5"/>
  <c r="X61" i="5"/>
  <c r="Z62" i="5"/>
  <c r="AA64" i="5"/>
  <c r="X31" i="5"/>
  <c r="X23" i="5"/>
  <c r="X16" i="5"/>
  <c r="X30" i="5"/>
  <c r="X22" i="5"/>
  <c r="X20" i="5"/>
  <c r="C90" i="29"/>
  <c r="B90" i="29"/>
  <c r="Y73" i="5" l="1"/>
  <c r="I25" i="61"/>
  <c r="I24" i="56"/>
  <c r="Y44" i="5"/>
  <c r="Y42" i="5"/>
  <c r="F58" i="29"/>
  <c r="Y59" i="5"/>
  <c r="Y22" i="5"/>
  <c r="Y38" i="5"/>
  <c r="Y61" i="5"/>
  <c r="Y16" i="5"/>
  <c r="Y79" i="5"/>
  <c r="Y23" i="5"/>
  <c r="Y33" i="5"/>
  <c r="Y82" i="5"/>
  <c r="Y40" i="5"/>
  <c r="Y20" i="5"/>
  <c r="Y71" i="5"/>
  <c r="Y78" i="5"/>
  <c r="Y80" i="5"/>
  <c r="Y85" i="5"/>
  <c r="Y70" i="5"/>
  <c r="Y75" i="5"/>
  <c r="Y68" i="5"/>
  <c r="Y69" i="5"/>
  <c r="Y34" i="5"/>
  <c r="Y41" i="5"/>
  <c r="Y27" i="5"/>
  <c r="Y35" i="5"/>
  <c r="Y31" i="5"/>
  <c r="Y24" i="5"/>
  <c r="Y15" i="5"/>
  <c r="Y12" i="5"/>
  <c r="Y43" i="5"/>
  <c r="Y30" i="5"/>
  <c r="Y39" i="5"/>
  <c r="Y32" i="5"/>
  <c r="Y25" i="5"/>
  <c r="Y26" i="5"/>
  <c r="Z63" i="5"/>
  <c r="Z66" i="5"/>
  <c r="Z65" i="5"/>
  <c r="C46" i="5"/>
  <c r="D45" i="5"/>
  <c r="E45" i="5" s="1"/>
  <c r="F45" i="5" s="1"/>
  <c r="G45" i="5" s="1"/>
  <c r="H45" i="5" s="1"/>
  <c r="I45" i="5" s="1"/>
  <c r="J45" i="5" s="1"/>
  <c r="K45" i="5" s="1"/>
  <c r="L45" i="5" s="1"/>
  <c r="M45" i="5" s="1"/>
  <c r="N45" i="5" s="1"/>
  <c r="O45" i="5" s="1"/>
  <c r="P45" i="5" s="1"/>
  <c r="Q45" i="5" s="1"/>
  <c r="R45" i="5" s="1"/>
  <c r="S45" i="5" s="1"/>
  <c r="T45" i="5" s="1"/>
  <c r="U45" i="5" s="1"/>
  <c r="V45" i="5" s="1"/>
  <c r="W45" i="5" s="1"/>
  <c r="X45" i="5" s="1"/>
  <c r="Y45" i="5" s="1"/>
  <c r="Y74" i="5"/>
  <c r="Y86" i="5"/>
  <c r="Y76" i="5"/>
  <c r="Y77" i="5"/>
  <c r="F59" i="29"/>
  <c r="Y83" i="5"/>
  <c r="Y19" i="5"/>
  <c r="Y58" i="5"/>
  <c r="Y67" i="5"/>
  <c r="AA7" i="5"/>
  <c r="AB9" i="5"/>
  <c r="Y72" i="5"/>
  <c r="Y21" i="5"/>
  <c r="Z8" i="5"/>
  <c r="Z11" i="5"/>
  <c r="Z10" i="5"/>
  <c r="Y60" i="5"/>
  <c r="AO6" i="18"/>
  <c r="AO11" i="18"/>
  <c r="AO12" i="18"/>
  <c r="B7" i="29"/>
  <c r="C10" i="18"/>
  <c r="Y14" i="5"/>
  <c r="Y17" i="5"/>
  <c r="Y18" i="5"/>
  <c r="Y28" i="5"/>
  <c r="Y13" i="5"/>
  <c r="Y36" i="5"/>
  <c r="Y29" i="5"/>
  <c r="F60" i="29"/>
  <c r="Y84" i="5"/>
  <c r="Y37" i="5"/>
  <c r="AB64" i="5"/>
  <c r="AA62" i="5"/>
  <c r="Y81" i="5"/>
  <c r="Z73" i="5" l="1"/>
  <c r="Z45" i="5"/>
  <c r="I15" i="63"/>
  <c r="K13" i="61"/>
  <c r="G13" i="61"/>
  <c r="G19" i="63"/>
  <c r="K19" i="63"/>
  <c r="K13" i="63"/>
  <c r="G13" i="63"/>
  <c r="A3" i="18"/>
  <c r="Z85" i="5"/>
  <c r="Z72" i="5"/>
  <c r="Z78" i="5"/>
  <c r="Z74" i="5"/>
  <c r="Z75" i="5"/>
  <c r="Z82" i="5"/>
  <c r="Z83" i="5"/>
  <c r="Z70" i="5"/>
  <c r="Z17" i="5"/>
  <c r="Z79" i="5"/>
  <c r="Z84" i="5"/>
  <c r="Z81" i="5"/>
  <c r="Z27" i="5"/>
  <c r="Z86" i="5"/>
  <c r="Z40" i="5"/>
  <c r="Z26" i="5"/>
  <c r="Z71" i="5"/>
  <c r="Z18" i="5"/>
  <c r="Z43" i="5"/>
  <c r="Z37" i="5"/>
  <c r="Z59" i="5"/>
  <c r="Z41" i="5"/>
  <c r="Z34" i="5"/>
  <c r="Z36" i="5"/>
  <c r="Z31" i="5"/>
  <c r="Z35" i="5"/>
  <c r="Z69" i="5"/>
  <c r="Z67" i="5"/>
  <c r="Z30" i="5"/>
  <c r="Z24" i="5"/>
  <c r="Z12" i="5"/>
  <c r="Z25" i="5"/>
  <c r="Z33" i="5"/>
  <c r="Z32" i="5"/>
  <c r="Z15" i="5"/>
  <c r="Z38" i="5"/>
  <c r="Z29" i="5"/>
  <c r="Z77" i="5"/>
  <c r="Z76" i="5"/>
  <c r="Z68" i="5"/>
  <c r="Z60" i="5"/>
  <c r="Z22" i="5"/>
  <c r="Z58" i="5"/>
  <c r="Z61" i="5"/>
  <c r="Z44" i="5"/>
  <c r="K58" i="29"/>
  <c r="Z19" i="5"/>
  <c r="Z16" i="5"/>
  <c r="Z14" i="5"/>
  <c r="Z23" i="5"/>
  <c r="Z21" i="5"/>
  <c r="Z20" i="5"/>
  <c r="B12" i="29"/>
  <c r="C52" i="63"/>
  <c r="C53" i="63" s="1"/>
  <c r="C97" i="61"/>
  <c r="C98" i="61" s="1"/>
  <c r="C99" i="61" s="1"/>
  <c r="C30" i="63"/>
  <c r="C31" i="63" s="1"/>
  <c r="C71" i="61"/>
  <c r="C42" i="63"/>
  <c r="C51" i="61"/>
  <c r="C34" i="61"/>
  <c r="C35" i="61" s="1"/>
  <c r="F35" i="61" s="1"/>
  <c r="C81" i="61"/>
  <c r="C82" i="61" s="1"/>
  <c r="E82" i="61" s="1"/>
  <c r="U3" i="18"/>
  <c r="E8" i="18"/>
  <c r="K12" i="56"/>
  <c r="A120" i="56"/>
  <c r="A96" i="61"/>
  <c r="B10" i="29"/>
  <c r="A50" i="63"/>
  <c r="A79" i="61"/>
  <c r="A31" i="56"/>
  <c r="A28" i="63"/>
  <c r="A32" i="61"/>
  <c r="A96" i="56"/>
  <c r="Z80" i="5"/>
  <c r="AA63" i="5"/>
  <c r="AA66" i="5"/>
  <c r="AA65" i="5"/>
  <c r="AA73" i="5" s="1"/>
  <c r="Z13" i="5"/>
  <c r="Z39" i="5"/>
  <c r="AB7" i="5"/>
  <c r="AC9" i="5"/>
  <c r="D46" i="5"/>
  <c r="E46" i="5" s="1"/>
  <c r="F46" i="5" s="1"/>
  <c r="G46" i="5" s="1"/>
  <c r="H46" i="5" s="1"/>
  <c r="I46" i="5" s="1"/>
  <c r="J46" i="5" s="1"/>
  <c r="K46" i="5" s="1"/>
  <c r="L46" i="5" s="1"/>
  <c r="M46" i="5" s="1"/>
  <c r="N46" i="5" s="1"/>
  <c r="O46" i="5" s="1"/>
  <c r="P46" i="5" s="1"/>
  <c r="Q46" i="5" s="1"/>
  <c r="R46" i="5" s="1"/>
  <c r="S46" i="5" s="1"/>
  <c r="T46" i="5" s="1"/>
  <c r="U46" i="5" s="1"/>
  <c r="V46" i="5" s="1"/>
  <c r="W46" i="5" s="1"/>
  <c r="X46" i="5" s="1"/>
  <c r="Y46" i="5" s="1"/>
  <c r="Z46" i="5" s="1"/>
  <c r="C47" i="5"/>
  <c r="Z42" i="5"/>
  <c r="AB62" i="5"/>
  <c r="AC64" i="5"/>
  <c r="K60" i="29"/>
  <c r="Z28" i="5"/>
  <c r="AA8" i="5"/>
  <c r="AA11" i="5"/>
  <c r="AA10" i="5"/>
  <c r="K59" i="29"/>
  <c r="C100" i="61" l="1"/>
  <c r="C101" i="61" s="1"/>
  <c r="C102" i="61" s="1"/>
  <c r="E99" i="61"/>
  <c r="D99" i="61"/>
  <c r="E98" i="61"/>
  <c r="D98" i="61"/>
  <c r="AA46" i="5"/>
  <c r="E42" i="63"/>
  <c r="E44" i="63" s="1"/>
  <c r="H17" i="63"/>
  <c r="E71" i="61"/>
  <c r="E73" i="61" s="1"/>
  <c r="E51" i="61"/>
  <c r="E53" i="61" s="1"/>
  <c r="G58" i="29"/>
  <c r="AA59" i="5"/>
  <c r="AA80" i="5"/>
  <c r="AA72" i="5"/>
  <c r="AA83" i="5"/>
  <c r="AA39" i="5"/>
  <c r="AA15" i="5"/>
  <c r="AA43" i="5"/>
  <c r="AA28" i="5"/>
  <c r="AA27" i="5"/>
  <c r="AA82" i="5"/>
  <c r="A97" i="56"/>
  <c r="G59" i="29"/>
  <c r="A121" i="56"/>
  <c r="G60" i="29"/>
  <c r="A32" i="56"/>
  <c r="AB63" i="5"/>
  <c r="AB66" i="5"/>
  <c r="AB65" i="5"/>
  <c r="AB73" i="5" s="1"/>
  <c r="C48" i="5"/>
  <c r="D47" i="5"/>
  <c r="E47" i="5" s="1"/>
  <c r="F47" i="5" s="1"/>
  <c r="G47" i="5" s="1"/>
  <c r="H47" i="5" s="1"/>
  <c r="I47" i="5" s="1"/>
  <c r="J47" i="5" s="1"/>
  <c r="K47" i="5" s="1"/>
  <c r="L47" i="5" s="1"/>
  <c r="M47" i="5" s="1"/>
  <c r="N47" i="5" s="1"/>
  <c r="O47" i="5" s="1"/>
  <c r="P47" i="5" s="1"/>
  <c r="Q47" i="5" s="1"/>
  <c r="R47" i="5" s="1"/>
  <c r="S47" i="5" s="1"/>
  <c r="T47" i="5" s="1"/>
  <c r="U47" i="5" s="1"/>
  <c r="V47" i="5" s="1"/>
  <c r="W47" i="5" s="1"/>
  <c r="X47" i="5" s="1"/>
  <c r="Y47" i="5" s="1"/>
  <c r="Z47" i="5" s="1"/>
  <c r="AA47" i="5" s="1"/>
  <c r="E35" i="61"/>
  <c r="C36" i="61"/>
  <c r="F36" i="61" s="1"/>
  <c r="AA40" i="5"/>
  <c r="AA23" i="5"/>
  <c r="AA84" i="5"/>
  <c r="AA76" i="5"/>
  <c r="AA29" i="5"/>
  <c r="AA33" i="5"/>
  <c r="AA85" i="5"/>
  <c r="AA14" i="5"/>
  <c r="AA16" i="5"/>
  <c r="AA44" i="5"/>
  <c r="AA31" i="5"/>
  <c r="AA38" i="5"/>
  <c r="AC7" i="5"/>
  <c r="AD9" i="5"/>
  <c r="C32" i="63"/>
  <c r="C33" i="63" s="1"/>
  <c r="C34" i="63" s="1"/>
  <c r="F31" i="63"/>
  <c r="E31" i="63"/>
  <c r="AA74" i="5"/>
  <c r="AA35" i="5"/>
  <c r="AA78" i="5"/>
  <c r="AA19" i="5"/>
  <c r="AA61" i="5"/>
  <c r="AA75" i="5"/>
  <c r="AA20" i="5"/>
  <c r="AA37" i="5"/>
  <c r="AA17" i="5"/>
  <c r="AA58" i="5"/>
  <c r="AA77" i="5"/>
  <c r="AA21" i="5"/>
  <c r="AA79" i="5"/>
  <c r="AA25" i="5"/>
  <c r="AA22" i="5"/>
  <c r="AA67" i="5"/>
  <c r="AA18" i="5"/>
  <c r="AA12" i="5"/>
  <c r="AA60" i="5"/>
  <c r="AA24" i="5"/>
  <c r="AA26" i="5"/>
  <c r="AA36" i="5"/>
  <c r="AA45" i="5"/>
  <c r="K82" i="61"/>
  <c r="H82" i="61"/>
  <c r="C83" i="61"/>
  <c r="E83" i="61" s="1"/>
  <c r="K53" i="63"/>
  <c r="C54" i="63"/>
  <c r="C55" i="63" s="1"/>
  <c r="C56" i="63" s="1"/>
  <c r="E53" i="63"/>
  <c r="H53" i="63"/>
  <c r="AA70" i="5"/>
  <c r="AA81" i="5"/>
  <c r="AA69" i="5"/>
  <c r="AA30" i="5"/>
  <c r="AB8" i="5"/>
  <c r="AB11" i="5"/>
  <c r="AB10" i="5"/>
  <c r="AA32" i="5"/>
  <c r="AA13" i="5"/>
  <c r="AC62" i="5"/>
  <c r="AD64" i="5"/>
  <c r="AA42" i="5"/>
  <c r="AA41" i="5"/>
  <c r="AA86" i="5"/>
  <c r="AA71" i="5"/>
  <c r="AA68" i="5"/>
  <c r="AA34" i="5"/>
  <c r="E102" i="61" l="1"/>
  <c r="D102" i="61"/>
  <c r="D101" i="61"/>
  <c r="E101" i="61"/>
  <c r="E56" i="63"/>
  <c r="K56" i="63"/>
  <c r="H56" i="63"/>
  <c r="D56" i="63"/>
  <c r="F34" i="63"/>
  <c r="E34" i="63"/>
  <c r="D34" i="63"/>
  <c r="AB70" i="5"/>
  <c r="F99" i="61"/>
  <c r="X99" i="61" s="1"/>
  <c r="E100" i="61"/>
  <c r="D100" i="61"/>
  <c r="F98" i="61"/>
  <c r="X98" i="61" s="1"/>
  <c r="D55" i="63"/>
  <c r="K55" i="63"/>
  <c r="H55" i="63"/>
  <c r="E55" i="63"/>
  <c r="E33" i="63"/>
  <c r="F33" i="63"/>
  <c r="D33" i="63"/>
  <c r="F93" i="61"/>
  <c r="AB84" i="5"/>
  <c r="AB68" i="5"/>
  <c r="AB71" i="5"/>
  <c r="AB86" i="5"/>
  <c r="AB79" i="5"/>
  <c r="AB59" i="5"/>
  <c r="AB69" i="5"/>
  <c r="E60" i="29"/>
  <c r="O60" i="29" s="1"/>
  <c r="E59" i="29"/>
  <c r="O59" i="29" s="1"/>
  <c r="E58" i="29"/>
  <c r="O58" i="29" s="1"/>
  <c r="AB80" i="5"/>
  <c r="AB83" i="5"/>
  <c r="AB47" i="5"/>
  <c r="AB77" i="5"/>
  <c r="AB39" i="5"/>
  <c r="AB74" i="5"/>
  <c r="AB32" i="5"/>
  <c r="AB12" i="5"/>
  <c r="AB45" i="5"/>
  <c r="AB75" i="5"/>
  <c r="AB41" i="5"/>
  <c r="AB42" i="5"/>
  <c r="AB82" i="5"/>
  <c r="AB43" i="5"/>
  <c r="AB17" i="5"/>
  <c r="AB30" i="5"/>
  <c r="AB34" i="5"/>
  <c r="AB72" i="5"/>
  <c r="AB67" i="5"/>
  <c r="AB78" i="5"/>
  <c r="AB38" i="5"/>
  <c r="AB81" i="5"/>
  <c r="AB22" i="5"/>
  <c r="AB76" i="5"/>
  <c r="H58" i="29"/>
  <c r="I58" i="29"/>
  <c r="H60" i="29"/>
  <c r="M60" i="29" s="1"/>
  <c r="I60" i="29"/>
  <c r="I59" i="29"/>
  <c r="H59" i="29"/>
  <c r="H83" i="61"/>
  <c r="D83" i="61"/>
  <c r="K83" i="61"/>
  <c r="C84" i="61"/>
  <c r="E84" i="61" s="1"/>
  <c r="AB36" i="5"/>
  <c r="AB18" i="5"/>
  <c r="AB25" i="5"/>
  <c r="AB37" i="5"/>
  <c r="AB28" i="5"/>
  <c r="D36" i="61"/>
  <c r="C37" i="61"/>
  <c r="F37" i="61" s="1"/>
  <c r="E36" i="61"/>
  <c r="D48" i="5"/>
  <c r="E48" i="5" s="1"/>
  <c r="F48" i="5" s="1"/>
  <c r="G48" i="5" s="1"/>
  <c r="H48" i="5" s="1"/>
  <c r="I48" i="5" s="1"/>
  <c r="J48" i="5" s="1"/>
  <c r="K48" i="5" s="1"/>
  <c r="L48" i="5" s="1"/>
  <c r="M48" i="5" s="1"/>
  <c r="N48" i="5" s="1"/>
  <c r="O48" i="5" s="1"/>
  <c r="P48" i="5" s="1"/>
  <c r="Q48" i="5" s="1"/>
  <c r="R48" i="5" s="1"/>
  <c r="S48" i="5" s="1"/>
  <c r="T48" i="5" s="1"/>
  <c r="U48" i="5" s="1"/>
  <c r="V48" i="5" s="1"/>
  <c r="W48" i="5" s="1"/>
  <c r="X48" i="5" s="1"/>
  <c r="Y48" i="5" s="1"/>
  <c r="Z48" i="5" s="1"/>
  <c r="AA48" i="5" s="1"/>
  <c r="AB48" i="5" s="1"/>
  <c r="C49" i="5"/>
  <c r="AB26" i="5"/>
  <c r="AB46" i="5"/>
  <c r="AB33" i="5"/>
  <c r="AB20" i="5"/>
  <c r="AB61" i="5"/>
  <c r="AB31" i="5"/>
  <c r="AB29" i="5"/>
  <c r="AB21" i="5"/>
  <c r="AB19" i="5"/>
  <c r="AB44" i="5"/>
  <c r="D54" i="63"/>
  <c r="E54" i="63"/>
  <c r="H54" i="63"/>
  <c r="K54" i="63"/>
  <c r="AB15" i="5"/>
  <c r="AB27" i="5"/>
  <c r="E32" i="63"/>
  <c r="D32" i="63"/>
  <c r="F32" i="63"/>
  <c r="AB16" i="5"/>
  <c r="AE64" i="5"/>
  <c r="AD62" i="5"/>
  <c r="AC66" i="5"/>
  <c r="AC65" i="5"/>
  <c r="AC63" i="5"/>
  <c r="AB13" i="5"/>
  <c r="AB24" i="5"/>
  <c r="AB35" i="5"/>
  <c r="AD7" i="5"/>
  <c r="AE9" i="5"/>
  <c r="AB14" i="5"/>
  <c r="AB23" i="5"/>
  <c r="AB60" i="5"/>
  <c r="AB58" i="5"/>
  <c r="AC11" i="5"/>
  <c r="AC10" i="5"/>
  <c r="AC8" i="5"/>
  <c r="AB85" i="5"/>
  <c r="AB40" i="5"/>
  <c r="F102" i="61" l="1"/>
  <c r="X102" i="61" s="1"/>
  <c r="F101" i="61"/>
  <c r="X101" i="61" s="1"/>
  <c r="AC70" i="5"/>
  <c r="F100" i="61"/>
  <c r="X100" i="61" s="1"/>
  <c r="AC59" i="5"/>
  <c r="AC48" i="5"/>
  <c r="K27" i="29"/>
  <c r="AC74" i="5"/>
  <c r="AC71" i="5"/>
  <c r="AC14" i="5"/>
  <c r="N59" i="29"/>
  <c r="L59" i="29"/>
  <c r="M59" i="29" s="1"/>
  <c r="N60" i="29"/>
  <c r="L60" i="29"/>
  <c r="N58" i="29"/>
  <c r="L58" i="29"/>
  <c r="M58" i="29" s="1"/>
  <c r="AC23" i="5"/>
  <c r="AC13" i="5"/>
  <c r="AC16" i="5"/>
  <c r="AC27" i="5"/>
  <c r="AC68" i="5"/>
  <c r="AC72" i="5"/>
  <c r="AC80" i="5"/>
  <c r="AC43" i="5"/>
  <c r="AC15" i="5"/>
  <c r="AC34" i="5"/>
  <c r="AC30" i="5"/>
  <c r="AC42" i="5"/>
  <c r="AC26" i="5"/>
  <c r="C85" i="61"/>
  <c r="E85" i="61" s="1"/>
  <c r="D84" i="61"/>
  <c r="K84" i="61"/>
  <c r="H84" i="61"/>
  <c r="AC38" i="5"/>
  <c r="AC45" i="5"/>
  <c r="AC17" i="5"/>
  <c r="AC39" i="5"/>
  <c r="AC41" i="5"/>
  <c r="AC22" i="5"/>
  <c r="AD11" i="5"/>
  <c r="AD10" i="5"/>
  <c r="AD8" i="5"/>
  <c r="AC76" i="5"/>
  <c r="AC29" i="5"/>
  <c r="AC86" i="5"/>
  <c r="C50" i="5"/>
  <c r="D49" i="5"/>
  <c r="E49" i="5" s="1"/>
  <c r="F49" i="5" s="1"/>
  <c r="G49" i="5" s="1"/>
  <c r="H49" i="5" s="1"/>
  <c r="I49" i="5" s="1"/>
  <c r="J49" i="5" s="1"/>
  <c r="K49" i="5" s="1"/>
  <c r="L49" i="5" s="1"/>
  <c r="M49" i="5" s="1"/>
  <c r="N49" i="5" s="1"/>
  <c r="O49" i="5" s="1"/>
  <c r="P49" i="5" s="1"/>
  <c r="Q49" i="5" s="1"/>
  <c r="R49" i="5" s="1"/>
  <c r="S49" i="5" s="1"/>
  <c r="T49" i="5" s="1"/>
  <c r="U49" i="5" s="1"/>
  <c r="V49" i="5" s="1"/>
  <c r="W49" i="5" s="1"/>
  <c r="X49" i="5" s="1"/>
  <c r="Y49" i="5" s="1"/>
  <c r="Z49" i="5" s="1"/>
  <c r="AA49" i="5" s="1"/>
  <c r="AB49" i="5" s="1"/>
  <c r="AC49" i="5" s="1"/>
  <c r="AC28" i="5"/>
  <c r="AC32" i="5"/>
  <c r="AC37" i="5"/>
  <c r="AC47" i="5"/>
  <c r="AC35" i="5"/>
  <c r="AD66" i="5"/>
  <c r="AD65" i="5"/>
  <c r="AD63" i="5"/>
  <c r="AC19" i="5"/>
  <c r="AC61" i="5"/>
  <c r="AC46" i="5"/>
  <c r="AC25" i="5"/>
  <c r="AC44" i="5"/>
  <c r="AC33" i="5"/>
  <c r="AC67" i="5"/>
  <c r="AC83" i="5"/>
  <c r="AF64" i="5"/>
  <c r="AE62" i="5"/>
  <c r="AC21" i="5"/>
  <c r="AC20" i="5"/>
  <c r="AC75" i="5"/>
  <c r="D37" i="61"/>
  <c r="C38" i="61"/>
  <c r="F38" i="61" s="1"/>
  <c r="E37" i="61"/>
  <c r="AC18" i="5"/>
  <c r="AC73" i="5"/>
  <c r="AF9" i="5"/>
  <c r="AE7" i="5"/>
  <c r="AC12" i="5"/>
  <c r="AC31" i="5"/>
  <c r="AC58" i="5"/>
  <c r="AC77" i="5"/>
  <c r="AC81" i="5"/>
  <c r="AC40" i="5"/>
  <c r="AC85" i="5"/>
  <c r="AC60" i="5"/>
  <c r="AC24" i="5"/>
  <c r="AC84" i="5"/>
  <c r="AC78" i="5"/>
  <c r="AC69" i="5"/>
  <c r="AC82" i="5"/>
  <c r="AC79" i="5"/>
  <c r="AC36" i="5"/>
  <c r="C86" i="61" l="1"/>
  <c r="E86" i="61" s="1"/>
  <c r="C39" i="61"/>
  <c r="F39" i="61" s="1"/>
  <c r="AD70" i="5"/>
  <c r="AD58" i="5"/>
  <c r="AD59" i="5"/>
  <c r="AD73" i="5"/>
  <c r="AD49" i="5"/>
  <c r="AD21" i="5"/>
  <c r="AD60" i="5"/>
  <c r="AD67" i="5"/>
  <c r="AD18" i="5"/>
  <c r="AD33" i="5"/>
  <c r="AD61" i="5"/>
  <c r="AD48" i="5"/>
  <c r="AD47" i="5"/>
  <c r="AD36" i="5"/>
  <c r="AD25" i="5"/>
  <c r="AD29" i="5"/>
  <c r="AD32" i="5"/>
  <c r="AD31" i="5"/>
  <c r="AD19" i="5"/>
  <c r="AD24" i="5"/>
  <c r="AD14" i="5"/>
  <c r="AD20" i="5"/>
  <c r="AD28" i="5"/>
  <c r="AD40" i="5"/>
  <c r="AD12" i="5"/>
  <c r="AD46" i="5"/>
  <c r="AD37" i="5"/>
  <c r="AD69" i="5"/>
  <c r="AD77" i="5"/>
  <c r="AD41" i="5"/>
  <c r="AD44" i="5"/>
  <c r="AD35" i="5"/>
  <c r="AD82" i="5"/>
  <c r="AD22" i="5"/>
  <c r="AD81" i="5"/>
  <c r="AD78" i="5"/>
  <c r="AD76" i="5"/>
  <c r="AD39" i="5"/>
  <c r="AD84" i="5"/>
  <c r="AD17" i="5"/>
  <c r="AD83" i="5"/>
  <c r="AD45" i="5"/>
  <c r="AD42" i="5"/>
  <c r="AD27" i="5"/>
  <c r="AD30" i="5"/>
  <c r="AD85" i="5"/>
  <c r="AD34" i="5"/>
  <c r="AD79" i="5"/>
  <c r="AE65" i="5"/>
  <c r="AE63" i="5"/>
  <c r="AE66" i="5"/>
  <c r="AD68" i="5"/>
  <c r="AG64" i="5"/>
  <c r="AF62" i="5"/>
  <c r="D38" i="61"/>
  <c r="E38" i="61"/>
  <c r="AD16" i="5"/>
  <c r="AE10" i="5"/>
  <c r="AE8" i="5"/>
  <c r="AE11" i="5"/>
  <c r="AD15" i="5"/>
  <c r="AD13" i="5"/>
  <c r="AD71" i="5"/>
  <c r="AD23" i="5"/>
  <c r="D50" i="5"/>
  <c r="E50" i="5" s="1"/>
  <c r="F50" i="5" s="1"/>
  <c r="G50" i="5" s="1"/>
  <c r="H50" i="5" s="1"/>
  <c r="I50" i="5" s="1"/>
  <c r="J50" i="5" s="1"/>
  <c r="K50" i="5" s="1"/>
  <c r="L50" i="5" s="1"/>
  <c r="M50" i="5" s="1"/>
  <c r="N50" i="5" s="1"/>
  <c r="O50" i="5" s="1"/>
  <c r="P50" i="5" s="1"/>
  <c r="Q50" i="5" s="1"/>
  <c r="R50" i="5" s="1"/>
  <c r="S50" i="5" s="1"/>
  <c r="T50" i="5" s="1"/>
  <c r="U50" i="5" s="1"/>
  <c r="V50" i="5" s="1"/>
  <c r="W50" i="5" s="1"/>
  <c r="X50" i="5" s="1"/>
  <c r="Y50" i="5" s="1"/>
  <c r="Z50" i="5" s="1"/>
  <c r="AA50" i="5" s="1"/>
  <c r="AB50" i="5" s="1"/>
  <c r="AC50" i="5" s="1"/>
  <c r="AD50" i="5" s="1"/>
  <c r="AE50" i="5" s="1"/>
  <c r="C51" i="5"/>
  <c r="AD43" i="5"/>
  <c r="AD74" i="5"/>
  <c r="AD86" i="5"/>
  <c r="AD38" i="5"/>
  <c r="K85" i="61"/>
  <c r="H85" i="61"/>
  <c r="D85" i="61"/>
  <c r="AD80" i="5"/>
  <c r="AG9" i="5"/>
  <c r="AF7" i="5"/>
  <c r="AD75" i="5"/>
  <c r="AD26" i="5"/>
  <c r="AD72" i="5"/>
  <c r="K86" i="61" l="1"/>
  <c r="H86" i="61"/>
  <c r="C87" i="61"/>
  <c r="E87" i="61" s="1"/>
  <c r="D86" i="61"/>
  <c r="D39" i="61"/>
  <c r="C40" i="61"/>
  <c r="F40" i="61" s="1"/>
  <c r="E39" i="61"/>
  <c r="AE70" i="5"/>
  <c r="AE20" i="5"/>
  <c r="AE73" i="5"/>
  <c r="AE84" i="5"/>
  <c r="AE78" i="5"/>
  <c r="AE75" i="5"/>
  <c r="AE71" i="5"/>
  <c r="AE86" i="5"/>
  <c r="AE72" i="5"/>
  <c r="AE80" i="5"/>
  <c r="AE74" i="5"/>
  <c r="AE82" i="5"/>
  <c r="AE76" i="5"/>
  <c r="AE85" i="5"/>
  <c r="AE68" i="5"/>
  <c r="AE67" i="5"/>
  <c r="AE83" i="5"/>
  <c r="AE77" i="5"/>
  <c r="AE79" i="5"/>
  <c r="AE46" i="5"/>
  <c r="AE25" i="5"/>
  <c r="AE26" i="5"/>
  <c r="AE29" i="5"/>
  <c r="AE49" i="5"/>
  <c r="AE18" i="5"/>
  <c r="AE47" i="5"/>
  <c r="AE40" i="5"/>
  <c r="AE36" i="5"/>
  <c r="AE12" i="5"/>
  <c r="AE35" i="5"/>
  <c r="AE13" i="5"/>
  <c r="AE31" i="5"/>
  <c r="AE42" i="5"/>
  <c r="AE44" i="5"/>
  <c r="AE15" i="5"/>
  <c r="AE32" i="5"/>
  <c r="AE48" i="5"/>
  <c r="AE14" i="5"/>
  <c r="AE39" i="5"/>
  <c r="AE19" i="5"/>
  <c r="AE60" i="5"/>
  <c r="AE24" i="5"/>
  <c r="AE28" i="5"/>
  <c r="AE16" i="5"/>
  <c r="AE33" i="5"/>
  <c r="AE43" i="5"/>
  <c r="AE23" i="5"/>
  <c r="AE34" i="5"/>
  <c r="AE38" i="5"/>
  <c r="AE45" i="5"/>
  <c r="AE41" i="5"/>
  <c r="AE17" i="5"/>
  <c r="AE69" i="5"/>
  <c r="AF65" i="5"/>
  <c r="AF70" i="5" s="1"/>
  <c r="AF63" i="5"/>
  <c r="AF66" i="5"/>
  <c r="AE37" i="5"/>
  <c r="AH9" i="5"/>
  <c r="AG7" i="5"/>
  <c r="AE58" i="5"/>
  <c r="AH64" i="5"/>
  <c r="AG62" i="5"/>
  <c r="AE61" i="5"/>
  <c r="AF10" i="5"/>
  <c r="AF8" i="5"/>
  <c r="AF11" i="5"/>
  <c r="C52" i="5"/>
  <c r="D51" i="5"/>
  <c r="E51" i="5" s="1"/>
  <c r="F51" i="5" s="1"/>
  <c r="G51" i="5" s="1"/>
  <c r="H51" i="5" s="1"/>
  <c r="I51" i="5" s="1"/>
  <c r="J51" i="5" s="1"/>
  <c r="K51" i="5" s="1"/>
  <c r="L51" i="5" s="1"/>
  <c r="M51" i="5" s="1"/>
  <c r="N51" i="5" s="1"/>
  <c r="O51" i="5" s="1"/>
  <c r="P51" i="5" s="1"/>
  <c r="Q51" i="5" s="1"/>
  <c r="R51" i="5" s="1"/>
  <c r="S51" i="5" s="1"/>
  <c r="T51" i="5" s="1"/>
  <c r="U51" i="5" s="1"/>
  <c r="V51" i="5" s="1"/>
  <c r="W51" i="5" s="1"/>
  <c r="X51" i="5" s="1"/>
  <c r="Y51" i="5" s="1"/>
  <c r="Z51" i="5" s="1"/>
  <c r="AA51" i="5" s="1"/>
  <c r="AB51" i="5" s="1"/>
  <c r="AC51" i="5" s="1"/>
  <c r="AD51" i="5" s="1"/>
  <c r="AE51" i="5" s="1"/>
  <c r="AF51" i="5" s="1"/>
  <c r="AE21" i="5"/>
  <c r="AE27" i="5"/>
  <c r="AE81" i="5"/>
  <c r="AE30" i="5"/>
  <c r="AE59" i="5"/>
  <c r="AE22" i="5"/>
  <c r="D87" i="61" l="1"/>
  <c r="H87" i="61"/>
  <c r="K87" i="61"/>
  <c r="E40" i="61"/>
  <c r="C88" i="61"/>
  <c r="E88" i="61" s="1"/>
  <c r="C41" i="61"/>
  <c r="F41" i="61" s="1"/>
  <c r="D40" i="61"/>
  <c r="AF74" i="5"/>
  <c r="AF44" i="5"/>
  <c r="AF73" i="5"/>
  <c r="AF82" i="5"/>
  <c r="AF68" i="5"/>
  <c r="AF86" i="5"/>
  <c r="AF31" i="5"/>
  <c r="AF42" i="5"/>
  <c r="AF30" i="5"/>
  <c r="AF27" i="5"/>
  <c r="AF24" i="5"/>
  <c r="AF18" i="5"/>
  <c r="AF17" i="5"/>
  <c r="AF36" i="5"/>
  <c r="AF35" i="5"/>
  <c r="AF25" i="5"/>
  <c r="AF22" i="5"/>
  <c r="AF26" i="5"/>
  <c r="AF79" i="5"/>
  <c r="AF49" i="5"/>
  <c r="AF13" i="5"/>
  <c r="AF84" i="5"/>
  <c r="AF47" i="5"/>
  <c r="AF40" i="5"/>
  <c r="AF59" i="5"/>
  <c r="AF81" i="5"/>
  <c r="AF50" i="5"/>
  <c r="AF15" i="5"/>
  <c r="AF69" i="5"/>
  <c r="AF77" i="5"/>
  <c r="AF21" i="5"/>
  <c r="AF46" i="5"/>
  <c r="AF58" i="5"/>
  <c r="AH62" i="5"/>
  <c r="AI64" i="5"/>
  <c r="AF75" i="5"/>
  <c r="AF48" i="5"/>
  <c r="AF78" i="5"/>
  <c r="AF83" i="5"/>
  <c r="AG8" i="5"/>
  <c r="AG11" i="5"/>
  <c r="AG10" i="5"/>
  <c r="AF12" i="5"/>
  <c r="AF39" i="5"/>
  <c r="AF41" i="5"/>
  <c r="AH7" i="5"/>
  <c r="AI9" i="5"/>
  <c r="AF32" i="5"/>
  <c r="AF14" i="5"/>
  <c r="AF71" i="5"/>
  <c r="AF29" i="5"/>
  <c r="AF34" i="5"/>
  <c r="AF85" i="5"/>
  <c r="AF72" i="5"/>
  <c r="AF45" i="5"/>
  <c r="AF60" i="5"/>
  <c r="AF67" i="5"/>
  <c r="AF16" i="5"/>
  <c r="AF33" i="5"/>
  <c r="AF61" i="5"/>
  <c r="AF38" i="5"/>
  <c r="AF37" i="5"/>
  <c r="AF23" i="5"/>
  <c r="AF76" i="5"/>
  <c r="AF28" i="5"/>
  <c r="AF20" i="5"/>
  <c r="D52" i="5"/>
  <c r="E52" i="5" s="1"/>
  <c r="F52" i="5" s="1"/>
  <c r="G52" i="5" s="1"/>
  <c r="H52" i="5" s="1"/>
  <c r="I52" i="5" s="1"/>
  <c r="J52" i="5" s="1"/>
  <c r="K52" i="5" s="1"/>
  <c r="L52" i="5" s="1"/>
  <c r="M52" i="5" s="1"/>
  <c r="N52" i="5" s="1"/>
  <c r="O52" i="5" s="1"/>
  <c r="P52" i="5" s="1"/>
  <c r="Q52" i="5" s="1"/>
  <c r="R52" i="5" s="1"/>
  <c r="S52" i="5" s="1"/>
  <c r="T52" i="5" s="1"/>
  <c r="U52" i="5" s="1"/>
  <c r="V52" i="5" s="1"/>
  <c r="W52" i="5" s="1"/>
  <c r="X52" i="5" s="1"/>
  <c r="Y52" i="5" s="1"/>
  <c r="Z52" i="5" s="1"/>
  <c r="AA52" i="5" s="1"/>
  <c r="AB52" i="5" s="1"/>
  <c r="AC52" i="5" s="1"/>
  <c r="AD52" i="5" s="1"/>
  <c r="AE52" i="5" s="1"/>
  <c r="AF52" i="5" s="1"/>
  <c r="AG52" i="5" s="1"/>
  <c r="C53" i="5"/>
  <c r="AG63" i="5"/>
  <c r="AG66" i="5"/>
  <c r="AG65" i="5"/>
  <c r="AF80" i="5"/>
  <c r="AF43" i="5"/>
  <c r="AF19" i="5"/>
  <c r="H88" i="61" l="1"/>
  <c r="K88" i="61"/>
  <c r="D88" i="61"/>
  <c r="C89" i="61"/>
  <c r="K89" i="61" s="1"/>
  <c r="D41" i="61"/>
  <c r="E41" i="61"/>
  <c r="C42" i="61"/>
  <c r="C43" i="61" s="1"/>
  <c r="AG68" i="5"/>
  <c r="AG29" i="5"/>
  <c r="AG42" i="5"/>
  <c r="AG26" i="5"/>
  <c r="AG45" i="5"/>
  <c r="AG41" i="5"/>
  <c r="AG60" i="5"/>
  <c r="AG43" i="5"/>
  <c r="AG37" i="5"/>
  <c r="AG51" i="5"/>
  <c r="AG22" i="5"/>
  <c r="AG19" i="5"/>
  <c r="AG33" i="5"/>
  <c r="AG14" i="5"/>
  <c r="AG20" i="5"/>
  <c r="AG28" i="5"/>
  <c r="AG23" i="5"/>
  <c r="AG38" i="5"/>
  <c r="AG32" i="5"/>
  <c r="AG35" i="5"/>
  <c r="AG46" i="5"/>
  <c r="AG50" i="5"/>
  <c r="AG21" i="5"/>
  <c r="AG13" i="5"/>
  <c r="AG17" i="5"/>
  <c r="AG12" i="5"/>
  <c r="AG47" i="5"/>
  <c r="AG58" i="5"/>
  <c r="AG61" i="5"/>
  <c r="AG16" i="5"/>
  <c r="AG25" i="5"/>
  <c r="AG31" i="5"/>
  <c r="AG24" i="5"/>
  <c r="AG34" i="5"/>
  <c r="AG40" i="5"/>
  <c r="AG18" i="5"/>
  <c r="AJ64" i="5"/>
  <c r="AI62" i="5"/>
  <c r="AG86" i="5"/>
  <c r="AG80" i="5"/>
  <c r="AG74" i="5"/>
  <c r="AI7" i="5"/>
  <c r="AJ9" i="5"/>
  <c r="AG83" i="5"/>
  <c r="AH63" i="5"/>
  <c r="AH66" i="5"/>
  <c r="AH65" i="5"/>
  <c r="AG49" i="5"/>
  <c r="AG67" i="5"/>
  <c r="AG73" i="5"/>
  <c r="AH8" i="5"/>
  <c r="AH11" i="5"/>
  <c r="AH10" i="5"/>
  <c r="AG27" i="5"/>
  <c r="AG69" i="5"/>
  <c r="AG76" i="5"/>
  <c r="AG85" i="5"/>
  <c r="AG30" i="5"/>
  <c r="AG82" i="5"/>
  <c r="AG44" i="5"/>
  <c r="AG72" i="5"/>
  <c r="AG36" i="5"/>
  <c r="AG81" i="5"/>
  <c r="AG15" i="5"/>
  <c r="AG71" i="5"/>
  <c r="A49" i="63"/>
  <c r="AG84" i="5"/>
  <c r="AG59" i="5"/>
  <c r="AG48" i="5"/>
  <c r="AG70" i="5"/>
  <c r="C54" i="5"/>
  <c r="D53" i="5"/>
  <c r="E53" i="5" s="1"/>
  <c r="F53" i="5" s="1"/>
  <c r="G53" i="5" s="1"/>
  <c r="H53" i="5" s="1"/>
  <c r="I53" i="5" s="1"/>
  <c r="J53" i="5" s="1"/>
  <c r="K53" i="5" s="1"/>
  <c r="L53" i="5" s="1"/>
  <c r="M53" i="5" s="1"/>
  <c r="N53" i="5" s="1"/>
  <c r="O53" i="5" s="1"/>
  <c r="P53" i="5" s="1"/>
  <c r="Q53" i="5" s="1"/>
  <c r="R53" i="5" s="1"/>
  <c r="S53" i="5" s="1"/>
  <c r="T53" i="5" s="1"/>
  <c r="U53" i="5" s="1"/>
  <c r="V53" i="5" s="1"/>
  <c r="W53" i="5" s="1"/>
  <c r="X53" i="5" s="1"/>
  <c r="Y53" i="5" s="1"/>
  <c r="Z53" i="5" s="1"/>
  <c r="AA53" i="5" s="1"/>
  <c r="AB53" i="5" s="1"/>
  <c r="AC53" i="5" s="1"/>
  <c r="AD53" i="5" s="1"/>
  <c r="AE53" i="5" s="1"/>
  <c r="AF53" i="5" s="1"/>
  <c r="AG53" i="5" s="1"/>
  <c r="AH53" i="5" s="1"/>
  <c r="AG77" i="5"/>
  <c r="AG79" i="5"/>
  <c r="AG39" i="5"/>
  <c r="AG78" i="5"/>
  <c r="AG75" i="5"/>
  <c r="A27" i="63"/>
  <c r="E89" i="61" l="1"/>
  <c r="C90" i="61"/>
  <c r="F43" i="61"/>
  <c r="D43" i="61"/>
  <c r="E43" i="61"/>
  <c r="D89" i="61"/>
  <c r="H89" i="61"/>
  <c r="F42" i="61"/>
  <c r="E42" i="61"/>
  <c r="D42" i="61"/>
  <c r="AH42" i="5"/>
  <c r="AH68" i="5"/>
  <c r="AH77" i="5"/>
  <c r="AH75" i="5"/>
  <c r="AH71" i="5"/>
  <c r="AH25" i="5"/>
  <c r="AH39" i="5"/>
  <c r="AH78" i="5"/>
  <c r="AH70" i="5"/>
  <c r="AH51" i="5"/>
  <c r="AH59" i="5"/>
  <c r="AH61" i="5"/>
  <c r="AH18" i="5"/>
  <c r="AH44" i="5"/>
  <c r="AH84" i="5"/>
  <c r="AH46" i="5"/>
  <c r="AH30" i="5"/>
  <c r="AH15" i="5"/>
  <c r="AH37" i="5"/>
  <c r="AH41" i="5"/>
  <c r="AH19" i="5"/>
  <c r="AH40" i="5"/>
  <c r="AH52" i="5"/>
  <c r="AH34" i="5"/>
  <c r="AH85" i="5"/>
  <c r="AH83" i="5"/>
  <c r="AH14" i="5"/>
  <c r="AH17" i="5"/>
  <c r="AH81" i="5"/>
  <c r="AH13" i="5"/>
  <c r="AH69" i="5"/>
  <c r="AH73" i="5"/>
  <c r="AH36" i="5"/>
  <c r="AH82" i="5"/>
  <c r="AH43" i="5"/>
  <c r="AH79" i="5"/>
  <c r="AH48" i="5"/>
  <c r="AH31" i="5"/>
  <c r="AH28" i="5"/>
  <c r="AH27" i="5"/>
  <c r="AI8" i="5"/>
  <c r="AI11" i="5"/>
  <c r="AI10" i="5"/>
  <c r="AJ62" i="5"/>
  <c r="AK64" i="5"/>
  <c r="D54" i="5"/>
  <c r="E54" i="5" s="1"/>
  <c r="F54" i="5" s="1"/>
  <c r="G54" i="5" s="1"/>
  <c r="H54" i="5" s="1"/>
  <c r="I54" i="5" s="1"/>
  <c r="J54" i="5" s="1"/>
  <c r="K54" i="5" s="1"/>
  <c r="L54" i="5" s="1"/>
  <c r="M54" i="5" s="1"/>
  <c r="N54" i="5" s="1"/>
  <c r="O54" i="5" s="1"/>
  <c r="P54" i="5" s="1"/>
  <c r="Q54" i="5" s="1"/>
  <c r="R54" i="5" s="1"/>
  <c r="S54" i="5" s="1"/>
  <c r="T54" i="5" s="1"/>
  <c r="U54" i="5" s="1"/>
  <c r="V54" i="5" s="1"/>
  <c r="W54" i="5" s="1"/>
  <c r="X54" i="5" s="1"/>
  <c r="Y54" i="5" s="1"/>
  <c r="Z54" i="5" s="1"/>
  <c r="AA54" i="5" s="1"/>
  <c r="AB54" i="5" s="1"/>
  <c r="AC54" i="5" s="1"/>
  <c r="AD54" i="5" s="1"/>
  <c r="AE54" i="5" s="1"/>
  <c r="AF54" i="5" s="1"/>
  <c r="AG54" i="5" s="1"/>
  <c r="AH54" i="5" s="1"/>
  <c r="AI54" i="5" s="1"/>
  <c r="C55" i="5"/>
  <c r="AH74" i="5"/>
  <c r="AH47" i="5"/>
  <c r="AH67" i="5"/>
  <c r="AH22" i="5"/>
  <c r="AH32" i="5"/>
  <c r="A29" i="63"/>
  <c r="F70" i="29"/>
  <c r="AH12" i="5"/>
  <c r="AH50" i="5"/>
  <c r="AH21" i="5"/>
  <c r="AH24" i="5"/>
  <c r="AH49" i="5"/>
  <c r="AH16" i="5"/>
  <c r="AH35" i="5"/>
  <c r="AH20" i="5"/>
  <c r="AH26" i="5"/>
  <c r="AH80" i="5"/>
  <c r="AH33" i="5"/>
  <c r="A51" i="63"/>
  <c r="F71" i="29"/>
  <c r="AH38" i="5"/>
  <c r="AH29" i="5"/>
  <c r="AH45" i="5"/>
  <c r="AH60" i="5"/>
  <c r="AH86" i="5"/>
  <c r="AH72" i="5"/>
  <c r="AH23" i="5"/>
  <c r="AH76" i="5"/>
  <c r="AH58" i="5"/>
  <c r="AJ7" i="5"/>
  <c r="AK9" i="5"/>
  <c r="AI63" i="5"/>
  <c r="AI66" i="5"/>
  <c r="AI65" i="5"/>
  <c r="E90" i="61" l="1"/>
  <c r="D90" i="61"/>
  <c r="K90" i="61"/>
  <c r="H90" i="61"/>
  <c r="AI42" i="5"/>
  <c r="AI13" i="5"/>
  <c r="AI81" i="5"/>
  <c r="E71" i="29"/>
  <c r="O71" i="29" s="1"/>
  <c r="E70" i="29"/>
  <c r="AI50" i="5"/>
  <c r="AI48" i="5"/>
  <c r="AI41" i="5"/>
  <c r="AI60" i="5"/>
  <c r="AI21" i="5"/>
  <c r="AI52" i="5"/>
  <c r="AI59" i="5"/>
  <c r="AI58" i="5"/>
  <c r="AI61" i="5"/>
  <c r="AI33" i="5"/>
  <c r="AI23" i="5"/>
  <c r="AI51" i="5"/>
  <c r="AI17" i="5"/>
  <c r="AI25" i="5"/>
  <c r="AI35" i="5"/>
  <c r="AI19" i="5"/>
  <c r="AI29" i="5"/>
  <c r="AI45" i="5"/>
  <c r="AI38" i="5"/>
  <c r="AI20" i="5"/>
  <c r="AI24" i="5"/>
  <c r="AI46" i="5"/>
  <c r="AI44" i="5"/>
  <c r="AI47" i="5"/>
  <c r="AI40" i="5"/>
  <c r="AI36" i="5"/>
  <c r="AI37" i="5"/>
  <c r="AI28" i="5"/>
  <c r="AI76" i="5"/>
  <c r="AI26" i="5"/>
  <c r="AI16" i="5"/>
  <c r="AI22" i="5"/>
  <c r="AI31" i="5"/>
  <c r="AI43" i="5"/>
  <c r="AI32" i="5"/>
  <c r="AI49" i="5"/>
  <c r="AI53" i="5"/>
  <c r="AI27" i="5"/>
  <c r="AI34" i="5"/>
  <c r="AI78" i="5"/>
  <c r="AI30" i="5"/>
  <c r="AI71" i="5"/>
  <c r="AI12" i="5"/>
  <c r="AI39" i="5"/>
  <c r="AI18" i="5"/>
  <c r="AI14" i="5"/>
  <c r="AI70" i="5"/>
  <c r="C56" i="5"/>
  <c r="D55" i="5"/>
  <c r="E55" i="5" s="1"/>
  <c r="F55" i="5" s="1"/>
  <c r="G55" i="5" s="1"/>
  <c r="H55" i="5" s="1"/>
  <c r="I55" i="5" s="1"/>
  <c r="J55" i="5" s="1"/>
  <c r="K55" i="5" s="1"/>
  <c r="L55" i="5" s="1"/>
  <c r="M55" i="5" s="1"/>
  <c r="N55" i="5" s="1"/>
  <c r="O55" i="5" s="1"/>
  <c r="P55" i="5" s="1"/>
  <c r="Q55" i="5" s="1"/>
  <c r="R55" i="5" s="1"/>
  <c r="S55" i="5" s="1"/>
  <c r="T55" i="5" s="1"/>
  <c r="U55" i="5" s="1"/>
  <c r="V55" i="5" s="1"/>
  <c r="W55" i="5" s="1"/>
  <c r="X55" i="5" s="1"/>
  <c r="Y55" i="5" s="1"/>
  <c r="Z55" i="5" s="1"/>
  <c r="AA55" i="5" s="1"/>
  <c r="AB55" i="5" s="1"/>
  <c r="AC55" i="5" s="1"/>
  <c r="AD55" i="5" s="1"/>
  <c r="AE55" i="5" s="1"/>
  <c r="AF55" i="5" s="1"/>
  <c r="AG55" i="5" s="1"/>
  <c r="AH55" i="5" s="1"/>
  <c r="AI55" i="5" s="1"/>
  <c r="AJ55" i="5" s="1"/>
  <c r="AI83" i="5"/>
  <c r="AI84" i="5"/>
  <c r="AI74" i="5"/>
  <c r="AI69" i="5"/>
  <c r="AI72" i="5"/>
  <c r="AI77" i="5"/>
  <c r="AI73" i="5"/>
  <c r="AK62" i="5"/>
  <c r="AL64" i="5"/>
  <c r="AI79" i="5"/>
  <c r="AI67" i="5"/>
  <c r="AJ63" i="5"/>
  <c r="AJ66" i="5"/>
  <c r="AJ65" i="5"/>
  <c r="AJ81" i="5" s="1"/>
  <c r="AI75" i="5"/>
  <c r="AI80" i="5"/>
  <c r="AI15" i="5"/>
  <c r="G71" i="29"/>
  <c r="I71" i="29" s="1"/>
  <c r="K71" i="29"/>
  <c r="AK7" i="5"/>
  <c r="AL9" i="5"/>
  <c r="AI86" i="5"/>
  <c r="AI85" i="5"/>
  <c r="G70" i="29"/>
  <c r="I70" i="29" s="1"/>
  <c r="K70" i="29"/>
  <c r="AI68" i="5"/>
  <c r="AJ8" i="5"/>
  <c r="AJ11" i="5"/>
  <c r="AJ10" i="5"/>
  <c r="AI82" i="5"/>
  <c r="AJ42" i="5" l="1"/>
  <c r="K35" i="29"/>
  <c r="O70" i="29"/>
  <c r="N71" i="29"/>
  <c r="N70" i="29"/>
  <c r="AJ82" i="5"/>
  <c r="AJ76" i="5"/>
  <c r="AJ45" i="5"/>
  <c r="AJ86" i="5"/>
  <c r="AJ75" i="5"/>
  <c r="AJ51" i="5"/>
  <c r="AJ78" i="5"/>
  <c r="AJ73" i="5"/>
  <c r="AJ77" i="5"/>
  <c r="AJ70" i="5"/>
  <c r="AJ68" i="5"/>
  <c r="AJ48" i="5"/>
  <c r="AJ72" i="5"/>
  <c r="AJ67" i="5"/>
  <c r="AJ79" i="5"/>
  <c r="AJ85" i="5"/>
  <c r="AJ80" i="5"/>
  <c r="AJ60" i="5"/>
  <c r="AJ84" i="5"/>
  <c r="H71" i="29"/>
  <c r="L71" i="29" s="1"/>
  <c r="M71" i="29" s="1"/>
  <c r="H70" i="29"/>
  <c r="L70" i="29" s="1"/>
  <c r="M70" i="29" s="1"/>
  <c r="AJ40" i="5"/>
  <c r="AJ34" i="5"/>
  <c r="AJ29" i="5"/>
  <c r="AJ15" i="5"/>
  <c r="AJ50" i="5"/>
  <c r="AJ26" i="5"/>
  <c r="AJ12" i="5"/>
  <c r="C57" i="5"/>
  <c r="D57" i="5" s="1"/>
  <c r="E57" i="5" s="1"/>
  <c r="F57" i="5" s="1"/>
  <c r="G57" i="5" s="1"/>
  <c r="H57" i="5" s="1"/>
  <c r="I57" i="5" s="1"/>
  <c r="J57" i="5" s="1"/>
  <c r="K57" i="5" s="1"/>
  <c r="L57" i="5" s="1"/>
  <c r="M57" i="5" s="1"/>
  <c r="N57" i="5" s="1"/>
  <c r="O57" i="5" s="1"/>
  <c r="P57" i="5" s="1"/>
  <c r="Q57" i="5" s="1"/>
  <c r="R57" i="5" s="1"/>
  <c r="S57" i="5" s="1"/>
  <c r="T57" i="5" s="1"/>
  <c r="U57" i="5" s="1"/>
  <c r="V57" i="5" s="1"/>
  <c r="W57" i="5" s="1"/>
  <c r="X57" i="5" s="1"/>
  <c r="Y57" i="5" s="1"/>
  <c r="Z57" i="5" s="1"/>
  <c r="AA57" i="5" s="1"/>
  <c r="AB57" i="5" s="1"/>
  <c r="AC57" i="5" s="1"/>
  <c r="AD57" i="5" s="1"/>
  <c r="AE57" i="5" s="1"/>
  <c r="AF57" i="5" s="1"/>
  <c r="AG57" i="5" s="1"/>
  <c r="AH57" i="5" s="1"/>
  <c r="AI57" i="5" s="1"/>
  <c r="AJ57" i="5" s="1"/>
  <c r="AK57" i="5" s="1"/>
  <c r="D56" i="5"/>
  <c r="E56" i="5" s="1"/>
  <c r="F56" i="5" s="1"/>
  <c r="G56" i="5" s="1"/>
  <c r="H56" i="5" s="1"/>
  <c r="I56" i="5" s="1"/>
  <c r="J56" i="5" s="1"/>
  <c r="K56" i="5" s="1"/>
  <c r="L56" i="5" s="1"/>
  <c r="M56" i="5" s="1"/>
  <c r="N56" i="5" s="1"/>
  <c r="O56" i="5" s="1"/>
  <c r="P56" i="5" s="1"/>
  <c r="Q56" i="5" s="1"/>
  <c r="R56" i="5" s="1"/>
  <c r="S56" i="5" s="1"/>
  <c r="T56" i="5" s="1"/>
  <c r="U56" i="5" s="1"/>
  <c r="V56" i="5" s="1"/>
  <c r="W56" i="5" s="1"/>
  <c r="X56" i="5" s="1"/>
  <c r="Y56" i="5" s="1"/>
  <c r="Z56" i="5" s="1"/>
  <c r="AA56" i="5" s="1"/>
  <c r="AB56" i="5" s="1"/>
  <c r="AC56" i="5" s="1"/>
  <c r="AD56" i="5" s="1"/>
  <c r="AE56" i="5" s="1"/>
  <c r="AF56" i="5" s="1"/>
  <c r="AG56" i="5" s="1"/>
  <c r="AH56" i="5" s="1"/>
  <c r="AI56" i="5" s="1"/>
  <c r="AJ56" i="5" s="1"/>
  <c r="AK56" i="5" s="1"/>
  <c r="AJ18" i="5"/>
  <c r="AJ30" i="5"/>
  <c r="AJ19" i="5"/>
  <c r="AJ43" i="5"/>
  <c r="AJ59" i="5"/>
  <c r="AJ36" i="5"/>
  <c r="AJ28" i="5"/>
  <c r="AJ13" i="5"/>
  <c r="AJ61" i="5"/>
  <c r="AK11" i="5"/>
  <c r="AK10" i="5"/>
  <c r="AK55" i="5" s="1"/>
  <c r="AK8" i="5"/>
  <c r="AJ39" i="5"/>
  <c r="AJ52" i="5"/>
  <c r="AM64" i="5"/>
  <c r="AL62" i="5"/>
  <c r="AJ69" i="5"/>
  <c r="AJ71" i="5"/>
  <c r="AJ21" i="5"/>
  <c r="AJ24" i="5"/>
  <c r="AL7" i="5"/>
  <c r="AM9" i="5"/>
  <c r="AK66" i="5"/>
  <c r="AK65" i="5"/>
  <c r="AK81" i="5" s="1"/>
  <c r="AK63" i="5"/>
  <c r="AJ53" i="5"/>
  <c r="AJ14" i="5"/>
  <c r="AJ31" i="5"/>
  <c r="AJ49" i="5"/>
  <c r="AJ46" i="5"/>
  <c r="AJ37" i="5"/>
  <c r="AJ20" i="5"/>
  <c r="AJ74" i="5"/>
  <c r="AJ54" i="5"/>
  <c r="AJ25" i="5"/>
  <c r="AJ58" i="5"/>
  <c r="AJ27" i="5"/>
  <c r="AJ38" i="5"/>
  <c r="AJ16" i="5"/>
  <c r="AJ47" i="5"/>
  <c r="AJ35" i="5"/>
  <c r="AJ23" i="5"/>
  <c r="AJ44" i="5"/>
  <c r="AJ17" i="5"/>
  <c r="AJ41" i="5"/>
  <c r="AJ33" i="5"/>
  <c r="AJ22" i="5"/>
  <c r="AJ32" i="5"/>
  <c r="AJ83" i="5"/>
  <c r="A95" i="61" l="1"/>
  <c r="F66" i="29" s="1"/>
  <c r="AK51" i="5"/>
  <c r="AK83" i="5"/>
  <c r="AK46" i="5"/>
  <c r="AK85" i="5"/>
  <c r="AK28" i="5"/>
  <c r="AK44" i="5"/>
  <c r="AK86" i="5"/>
  <c r="AK71" i="5"/>
  <c r="AK80" i="5"/>
  <c r="AK78" i="5"/>
  <c r="AK73" i="5"/>
  <c r="AK31" i="5"/>
  <c r="AK24" i="5"/>
  <c r="AK52" i="5"/>
  <c r="AK70" i="5"/>
  <c r="AK43" i="5"/>
  <c r="AK75" i="5"/>
  <c r="AK23" i="5"/>
  <c r="AK41" i="5"/>
  <c r="AK38" i="5"/>
  <c r="AK20" i="5"/>
  <c r="AK14" i="5"/>
  <c r="AK60" i="5"/>
  <c r="AK39" i="5"/>
  <c r="AK84" i="5"/>
  <c r="AK19" i="5"/>
  <c r="AK15" i="5"/>
  <c r="AK17" i="5"/>
  <c r="AK27" i="5"/>
  <c r="AK37" i="5"/>
  <c r="AK53" i="5"/>
  <c r="AK21" i="5"/>
  <c r="AK72" i="5"/>
  <c r="AK30" i="5"/>
  <c r="AK48" i="5"/>
  <c r="AK29" i="5"/>
  <c r="AK34" i="5"/>
  <c r="AK40" i="5"/>
  <c r="AK58" i="5"/>
  <c r="AK69" i="5"/>
  <c r="AK67" i="5"/>
  <c r="AK32" i="5"/>
  <c r="AL66" i="5"/>
  <c r="AL65" i="5"/>
  <c r="AL81" i="5" s="1"/>
  <c r="AL63" i="5"/>
  <c r="AK61" i="5"/>
  <c r="AK36" i="5"/>
  <c r="AK12" i="5"/>
  <c r="AK68" i="5"/>
  <c r="AK18" i="5"/>
  <c r="AK35" i="5"/>
  <c r="AK49" i="5"/>
  <c r="AK22" i="5"/>
  <c r="AK47" i="5"/>
  <c r="AK54" i="5"/>
  <c r="AK82" i="5"/>
  <c r="AN9" i="5"/>
  <c r="AM7" i="5"/>
  <c r="AN64" i="5"/>
  <c r="AM62" i="5"/>
  <c r="AK13" i="5"/>
  <c r="AK59" i="5"/>
  <c r="AK26" i="5"/>
  <c r="AK42" i="5"/>
  <c r="AK25" i="5"/>
  <c r="AK33" i="5"/>
  <c r="AK16" i="5"/>
  <c r="AK74" i="5"/>
  <c r="AK45" i="5"/>
  <c r="AL11" i="5"/>
  <c r="AL10" i="5"/>
  <c r="AL8" i="5"/>
  <c r="AK79" i="5"/>
  <c r="AK77" i="5"/>
  <c r="AK76" i="5"/>
  <c r="AK50" i="5"/>
  <c r="A97" i="61" l="1"/>
  <c r="E66" i="29" s="1"/>
  <c r="O66" i="29" s="1"/>
  <c r="AL51" i="5"/>
  <c r="AL74" i="5"/>
  <c r="AL77" i="5"/>
  <c r="AL76" i="5"/>
  <c r="AL79" i="5"/>
  <c r="AL83" i="5"/>
  <c r="G66" i="29"/>
  <c r="I66" i="29" s="1"/>
  <c r="K66" i="29"/>
  <c r="AL13" i="5"/>
  <c r="AL22" i="5"/>
  <c r="AL36" i="5"/>
  <c r="AL58" i="5"/>
  <c r="AL48" i="5"/>
  <c r="AL44" i="5"/>
  <c r="AL38" i="5"/>
  <c r="AL24" i="5"/>
  <c r="AM65" i="5"/>
  <c r="AM81" i="5" s="1"/>
  <c r="AM63" i="5"/>
  <c r="AM66" i="5"/>
  <c r="AL49" i="5"/>
  <c r="AL61" i="5"/>
  <c r="AL28" i="5"/>
  <c r="AL30" i="5"/>
  <c r="AL15" i="5"/>
  <c r="AL41" i="5"/>
  <c r="AL31" i="5"/>
  <c r="AL45" i="5"/>
  <c r="AO64" i="5"/>
  <c r="AN62" i="5"/>
  <c r="AL35" i="5"/>
  <c r="AL55" i="5"/>
  <c r="AL72" i="5"/>
  <c r="AL19" i="5"/>
  <c r="AL23" i="5"/>
  <c r="AL73" i="5"/>
  <c r="AM10" i="5"/>
  <c r="AM8" i="5"/>
  <c r="AM11" i="5"/>
  <c r="AL18" i="5"/>
  <c r="AL40" i="5"/>
  <c r="AL21" i="5"/>
  <c r="AL84" i="5"/>
  <c r="AL71" i="5"/>
  <c r="AL78" i="5"/>
  <c r="AO9" i="5"/>
  <c r="AN7" i="5"/>
  <c r="AL57" i="5"/>
  <c r="AL53" i="5"/>
  <c r="AL39" i="5"/>
  <c r="AL75" i="5"/>
  <c r="AL80" i="5"/>
  <c r="AL50" i="5"/>
  <c r="AL33" i="5"/>
  <c r="AL46" i="5"/>
  <c r="AL82" i="5"/>
  <c r="AL85" i="5"/>
  <c r="AL32" i="5"/>
  <c r="AL34" i="5"/>
  <c r="AL37" i="5"/>
  <c r="AL60" i="5"/>
  <c r="AL43" i="5"/>
  <c r="AL86" i="5"/>
  <c r="AL42" i="5"/>
  <c r="AL54" i="5"/>
  <c r="AL68" i="5"/>
  <c r="AL67" i="5"/>
  <c r="AL56" i="5"/>
  <c r="AL27" i="5"/>
  <c r="AL14" i="5"/>
  <c r="AL70" i="5"/>
  <c r="AL16" i="5"/>
  <c r="AL25" i="5"/>
  <c r="AL26" i="5"/>
  <c r="AL59" i="5"/>
  <c r="AL47" i="5"/>
  <c r="AL12" i="5"/>
  <c r="AL69" i="5"/>
  <c r="AL29" i="5"/>
  <c r="AL17" i="5"/>
  <c r="AL20" i="5"/>
  <c r="AL52" i="5"/>
  <c r="AM12" i="5" l="1"/>
  <c r="AM27" i="5"/>
  <c r="AM60" i="5"/>
  <c r="AM51" i="5"/>
  <c r="AM47" i="5"/>
  <c r="AM52" i="5"/>
  <c r="AM20" i="5"/>
  <c r="AM25" i="5"/>
  <c r="AM54" i="5"/>
  <c r="AM17" i="5"/>
  <c r="AM16" i="5"/>
  <c r="AM42" i="5"/>
  <c r="AM57" i="5"/>
  <c r="AM53" i="5"/>
  <c r="AM56" i="5"/>
  <c r="AM26" i="5"/>
  <c r="AM37" i="5"/>
  <c r="N66" i="29"/>
  <c r="AM29" i="5"/>
  <c r="AM46" i="5"/>
  <c r="AM14" i="5"/>
  <c r="AM43" i="5"/>
  <c r="AM33" i="5"/>
  <c r="AM59" i="5"/>
  <c r="AM34" i="5"/>
  <c r="AM32" i="5"/>
  <c r="AM74" i="5"/>
  <c r="AM82" i="5"/>
  <c r="AM69" i="5"/>
  <c r="AM40" i="5"/>
  <c r="AM86" i="5"/>
  <c r="AM71" i="5"/>
  <c r="AM73" i="5"/>
  <c r="AM67" i="5"/>
  <c r="AM76" i="5"/>
  <c r="AM68" i="5"/>
  <c r="AM50" i="5"/>
  <c r="AM21" i="5"/>
  <c r="AM80" i="5"/>
  <c r="AM75" i="5"/>
  <c r="AM18" i="5"/>
  <c r="AM55" i="5"/>
  <c r="AM70" i="5"/>
  <c r="AM79" i="5"/>
  <c r="AM85" i="5"/>
  <c r="AM39" i="5"/>
  <c r="AM35" i="5"/>
  <c r="AM77" i="5"/>
  <c r="AM83" i="5"/>
  <c r="AM78" i="5"/>
  <c r="AM84" i="5"/>
  <c r="AM28" i="5"/>
  <c r="AM19" i="5"/>
  <c r="AM61" i="5"/>
  <c r="AM72" i="5"/>
  <c r="H66" i="29"/>
  <c r="L66" i="29" s="1"/>
  <c r="M66" i="29" s="1"/>
  <c r="AM44" i="5"/>
  <c r="AM48" i="5"/>
  <c r="AM49" i="5"/>
  <c r="AM58" i="5"/>
  <c r="AN10" i="5"/>
  <c r="AN8" i="5"/>
  <c r="AN11" i="5"/>
  <c r="AN65" i="5"/>
  <c r="AN63" i="5"/>
  <c r="AN66" i="5"/>
  <c r="AM36" i="5"/>
  <c r="AP9" i="5"/>
  <c r="AO7" i="5"/>
  <c r="AP64" i="5"/>
  <c r="AO62" i="5"/>
  <c r="AM31" i="5"/>
  <c r="AM22" i="5"/>
  <c r="AM45" i="5"/>
  <c r="AM41" i="5"/>
  <c r="AM13" i="5"/>
  <c r="AM23" i="5"/>
  <c r="AM15" i="5"/>
  <c r="AM24" i="5"/>
  <c r="AM30" i="5"/>
  <c r="AM38" i="5"/>
  <c r="AN51" i="5" l="1"/>
  <c r="AN79" i="5"/>
  <c r="AN84" i="5"/>
  <c r="AN85" i="5"/>
  <c r="AN70" i="5"/>
  <c r="AN13" i="5"/>
  <c r="AN77" i="5"/>
  <c r="AN16" i="5"/>
  <c r="AN74" i="5"/>
  <c r="AN80" i="5"/>
  <c r="AN82" i="5"/>
  <c r="AN69" i="5"/>
  <c r="AN73" i="5"/>
  <c r="AN75" i="5"/>
  <c r="AN71" i="5"/>
  <c r="AN60" i="5"/>
  <c r="AN43" i="5"/>
  <c r="AN41" i="5"/>
  <c r="AN26" i="5"/>
  <c r="AP7" i="5"/>
  <c r="AQ9" i="5"/>
  <c r="AN12" i="5"/>
  <c r="AN37" i="5"/>
  <c r="AN27" i="5"/>
  <c r="AN44" i="5"/>
  <c r="AN72" i="5"/>
  <c r="AN45" i="5"/>
  <c r="AN56" i="5"/>
  <c r="AN50" i="5"/>
  <c r="AN36" i="5"/>
  <c r="AN67" i="5"/>
  <c r="AN48" i="5"/>
  <c r="AN28" i="5"/>
  <c r="AN40" i="5"/>
  <c r="AN22" i="5"/>
  <c r="AN34" i="5"/>
  <c r="AN58" i="5"/>
  <c r="AN61" i="5"/>
  <c r="AN53" i="5"/>
  <c r="AN14" i="5"/>
  <c r="AN29" i="5"/>
  <c r="AN31" i="5"/>
  <c r="AN54" i="5"/>
  <c r="AN49" i="5"/>
  <c r="AN55" i="5"/>
  <c r="AN46" i="5"/>
  <c r="AN38" i="5"/>
  <c r="AN24" i="5"/>
  <c r="AO63" i="5"/>
  <c r="AO66" i="5"/>
  <c r="AO65" i="5"/>
  <c r="AN25" i="5"/>
  <c r="AN35" i="5"/>
  <c r="AN18" i="5"/>
  <c r="AN86" i="5"/>
  <c r="AO8" i="5"/>
  <c r="AO11" i="5"/>
  <c r="AO10" i="5"/>
  <c r="AN17" i="5"/>
  <c r="AN15" i="5"/>
  <c r="AN68" i="5"/>
  <c r="AN32" i="5"/>
  <c r="AP62" i="5"/>
  <c r="AQ64" i="5"/>
  <c r="AN20" i="5"/>
  <c r="AN83" i="5"/>
  <c r="AN57" i="5"/>
  <c r="AN81" i="5"/>
  <c r="AN52" i="5"/>
  <c r="AN30" i="5"/>
  <c r="AN47" i="5"/>
  <c r="AN19" i="5"/>
  <c r="AN21" i="5"/>
  <c r="AN39" i="5"/>
  <c r="AN23" i="5"/>
  <c r="AN59" i="5"/>
  <c r="AN42" i="5"/>
  <c r="AN78" i="5"/>
  <c r="AN76" i="5"/>
  <c r="AN33" i="5"/>
  <c r="AO51" i="5" l="1"/>
  <c r="AO39" i="5"/>
  <c r="AO77" i="5"/>
  <c r="AO35" i="5"/>
  <c r="AO81" i="5"/>
  <c r="AO15" i="5"/>
  <c r="AO83" i="5"/>
  <c r="AO20" i="5"/>
  <c r="AO19" i="5"/>
  <c r="AO33" i="5"/>
  <c r="AO69" i="5"/>
  <c r="AO80" i="5"/>
  <c r="AO76" i="5"/>
  <c r="AO21" i="5"/>
  <c r="AO57" i="5"/>
  <c r="AO17" i="5"/>
  <c r="AO78" i="5"/>
  <c r="AO23" i="5"/>
  <c r="AO13" i="5"/>
  <c r="AO68" i="5"/>
  <c r="AO18" i="5"/>
  <c r="AO16" i="5"/>
  <c r="AO47" i="5"/>
  <c r="AO74" i="5"/>
  <c r="AO82" i="5"/>
  <c r="AO26" i="5"/>
  <c r="AO28" i="5"/>
  <c r="AO46" i="5"/>
  <c r="AO75" i="5"/>
  <c r="AO61" i="5"/>
  <c r="AO48" i="5"/>
  <c r="AO72" i="5"/>
  <c r="AO41" i="5"/>
  <c r="AO25" i="5"/>
  <c r="AO55" i="5"/>
  <c r="AO53" i="5"/>
  <c r="AO58" i="5"/>
  <c r="AO67" i="5"/>
  <c r="AO44" i="5"/>
  <c r="AO85" i="5"/>
  <c r="AO49" i="5"/>
  <c r="AO34" i="5"/>
  <c r="AO36" i="5"/>
  <c r="AO27" i="5"/>
  <c r="AO43" i="5"/>
  <c r="AO54" i="5"/>
  <c r="AO22" i="5"/>
  <c r="AO50" i="5"/>
  <c r="AO37" i="5"/>
  <c r="AO60" i="5"/>
  <c r="AO73" i="5"/>
  <c r="AO56" i="5"/>
  <c r="AO12" i="5"/>
  <c r="AO84" i="5"/>
  <c r="AR64" i="5"/>
  <c r="AQ62" i="5"/>
  <c r="AO31" i="5"/>
  <c r="AO42" i="5"/>
  <c r="AO30" i="5"/>
  <c r="AP63" i="5"/>
  <c r="AP66" i="5"/>
  <c r="AP65" i="5"/>
  <c r="AO24" i="5"/>
  <c r="AO71" i="5"/>
  <c r="AO70" i="5"/>
  <c r="AO45" i="5"/>
  <c r="AQ7" i="5"/>
  <c r="AR9" i="5"/>
  <c r="AO59" i="5"/>
  <c r="AO52" i="5"/>
  <c r="AO32" i="5"/>
  <c r="AO86" i="5"/>
  <c r="AO38" i="5"/>
  <c r="AO29" i="5"/>
  <c r="AO14" i="5"/>
  <c r="AO40" i="5"/>
  <c r="AO79" i="5"/>
  <c r="AP8" i="5"/>
  <c r="AP11" i="5"/>
  <c r="AP10" i="5"/>
  <c r="AP77" i="5" l="1"/>
  <c r="AP33" i="5"/>
  <c r="AP24" i="5"/>
  <c r="AP28" i="5"/>
  <c r="AP75" i="5"/>
  <c r="AP20" i="5"/>
  <c r="AP40" i="5"/>
  <c r="AP80" i="5"/>
  <c r="AP73" i="5"/>
  <c r="AP14" i="5"/>
  <c r="AP39" i="5"/>
  <c r="AP19" i="5"/>
  <c r="AP17" i="5"/>
  <c r="AP29" i="5"/>
  <c r="AR62" i="5"/>
  <c r="AS64" i="5"/>
  <c r="AP85" i="5"/>
  <c r="AP57" i="5"/>
  <c r="AP46" i="5"/>
  <c r="AP38" i="5"/>
  <c r="AP16" i="5"/>
  <c r="AP76" i="5"/>
  <c r="AP21" i="5"/>
  <c r="AP43" i="5"/>
  <c r="AP44" i="5"/>
  <c r="AP82" i="5"/>
  <c r="AP35" i="5"/>
  <c r="AP81" i="5"/>
  <c r="AP68" i="5"/>
  <c r="AP26" i="5"/>
  <c r="AP60" i="5"/>
  <c r="AP27" i="5"/>
  <c r="AP67" i="5"/>
  <c r="AP18" i="5"/>
  <c r="AP15" i="5"/>
  <c r="AP86" i="5"/>
  <c r="A78" i="61"/>
  <c r="AP32" i="5"/>
  <c r="AR7" i="5"/>
  <c r="AS9" i="5"/>
  <c r="AP30" i="5"/>
  <c r="AP23" i="5"/>
  <c r="AP37" i="5"/>
  <c r="AP36" i="5"/>
  <c r="AP49" i="5"/>
  <c r="AP58" i="5"/>
  <c r="AP41" i="5"/>
  <c r="AP74" i="5"/>
  <c r="AP78" i="5"/>
  <c r="AP52" i="5"/>
  <c r="AQ8" i="5"/>
  <c r="AQ11" i="5"/>
  <c r="AQ10" i="5"/>
  <c r="AP42" i="5"/>
  <c r="AP84" i="5"/>
  <c r="AP50" i="5"/>
  <c r="AP34" i="5"/>
  <c r="AP69" i="5"/>
  <c r="AP53" i="5"/>
  <c r="AP72" i="5"/>
  <c r="AP13" i="5"/>
  <c r="AP79" i="5"/>
  <c r="AP59" i="5"/>
  <c r="AP45" i="5"/>
  <c r="AP31" i="5"/>
  <c r="AP12" i="5"/>
  <c r="AP22" i="5"/>
  <c r="AP83" i="5"/>
  <c r="AP55" i="5"/>
  <c r="AP48" i="5"/>
  <c r="AP51" i="5"/>
  <c r="A31" i="61"/>
  <c r="AP47" i="5"/>
  <c r="AP70" i="5"/>
  <c r="AP71" i="5"/>
  <c r="AQ63" i="5"/>
  <c r="AQ66" i="5"/>
  <c r="AQ65" i="5"/>
  <c r="AP56" i="5"/>
  <c r="AP54" i="5"/>
  <c r="AP25" i="5"/>
  <c r="AP61" i="5"/>
  <c r="AQ77" i="5" l="1"/>
  <c r="AQ40" i="5"/>
  <c r="AQ14" i="5"/>
  <c r="AQ42" i="5"/>
  <c r="AQ22" i="5"/>
  <c r="AQ13" i="5"/>
  <c r="AQ54" i="5"/>
  <c r="AQ56" i="5"/>
  <c r="AQ29" i="5"/>
  <c r="AQ12" i="5"/>
  <c r="AQ51" i="5"/>
  <c r="AQ61" i="5"/>
  <c r="AQ48" i="5"/>
  <c r="AQ59" i="5"/>
  <c r="AQ28" i="5"/>
  <c r="AQ84" i="5"/>
  <c r="AQ41" i="5"/>
  <c r="AQ70" i="5"/>
  <c r="AQ79" i="5"/>
  <c r="AQ74" i="5"/>
  <c r="AQ83" i="5"/>
  <c r="AQ57" i="5"/>
  <c r="AQ43" i="5"/>
  <c r="AQ69" i="5"/>
  <c r="AQ26" i="5"/>
  <c r="AQ71" i="5"/>
  <c r="A33" i="61"/>
  <c r="F64" i="29"/>
  <c r="A80" i="61"/>
  <c r="F65" i="29"/>
  <c r="AR8" i="5"/>
  <c r="AR11" i="5"/>
  <c r="AR10" i="5"/>
  <c r="AQ68" i="5"/>
  <c r="AQ21" i="5"/>
  <c r="AQ85" i="5"/>
  <c r="AQ58" i="5"/>
  <c r="AQ32" i="5"/>
  <c r="AQ86" i="5"/>
  <c r="AQ81" i="5"/>
  <c r="AQ76" i="5"/>
  <c r="AQ73" i="5"/>
  <c r="AQ31" i="5"/>
  <c r="AQ72" i="5"/>
  <c r="AQ49" i="5"/>
  <c r="AQ15" i="5"/>
  <c r="AQ39" i="5"/>
  <c r="AQ16" i="5"/>
  <c r="AQ75" i="5"/>
  <c r="AS7" i="5"/>
  <c r="AT9" i="5"/>
  <c r="AQ25" i="5"/>
  <c r="AQ47" i="5"/>
  <c r="AQ24" i="5"/>
  <c r="AQ45" i="5"/>
  <c r="AQ53" i="5"/>
  <c r="AQ36" i="5"/>
  <c r="AQ18" i="5"/>
  <c r="AQ20" i="5"/>
  <c r="AQ38" i="5"/>
  <c r="AS62" i="5"/>
  <c r="AT64" i="5"/>
  <c r="AQ52" i="5"/>
  <c r="AQ37" i="5"/>
  <c r="AQ67" i="5"/>
  <c r="AQ35" i="5"/>
  <c r="AQ17" i="5"/>
  <c r="AR63" i="5"/>
  <c r="AR66" i="5"/>
  <c r="AR65" i="5"/>
  <c r="AQ34" i="5"/>
  <c r="AQ78" i="5"/>
  <c r="AQ23" i="5"/>
  <c r="AQ27" i="5"/>
  <c r="AQ82" i="5"/>
  <c r="AQ80" i="5"/>
  <c r="AQ33" i="5"/>
  <c r="AQ55" i="5"/>
  <c r="AQ19" i="5"/>
  <c r="AQ50" i="5"/>
  <c r="AQ30" i="5"/>
  <c r="AQ60" i="5"/>
  <c r="AQ44" i="5"/>
  <c r="AQ46" i="5"/>
  <c r="AR77" i="5" l="1"/>
  <c r="E65" i="29"/>
  <c r="O65" i="29" s="1"/>
  <c r="E64" i="29"/>
  <c r="O64" i="29" s="1"/>
  <c r="AR29" i="5"/>
  <c r="AR33" i="5"/>
  <c r="AR44" i="5"/>
  <c r="AR48" i="5"/>
  <c r="AR80" i="5"/>
  <c r="AR16" i="5"/>
  <c r="AR24" i="5"/>
  <c r="AR56" i="5"/>
  <c r="AR26" i="5"/>
  <c r="AR50" i="5"/>
  <c r="AR27" i="5"/>
  <c r="AR47" i="5"/>
  <c r="AR32" i="5"/>
  <c r="AR52" i="5"/>
  <c r="AR30" i="5"/>
  <c r="AR17" i="5"/>
  <c r="AR20" i="5"/>
  <c r="AR61" i="5"/>
  <c r="AR60" i="5"/>
  <c r="AR82" i="5"/>
  <c r="AR19" i="5"/>
  <c r="AR34" i="5"/>
  <c r="AR43" i="5"/>
  <c r="AR23" i="5"/>
  <c r="AR49" i="5"/>
  <c r="AR55" i="5"/>
  <c r="AR40" i="5"/>
  <c r="AR35" i="5"/>
  <c r="AR46" i="5"/>
  <c r="AR57" i="5"/>
  <c r="AR67" i="5"/>
  <c r="AR83" i="5"/>
  <c r="AR45" i="5"/>
  <c r="AR75" i="5"/>
  <c r="AR73" i="5"/>
  <c r="AR28" i="5"/>
  <c r="AR42" i="5"/>
  <c r="AR14" i="5"/>
  <c r="AR39" i="5"/>
  <c r="AR21" i="5"/>
  <c r="AR22" i="5"/>
  <c r="AR71" i="5"/>
  <c r="AR37" i="5"/>
  <c r="AR38" i="5"/>
  <c r="AR25" i="5"/>
  <c r="AR15" i="5"/>
  <c r="AR59" i="5"/>
  <c r="AR18" i="5"/>
  <c r="AR58" i="5"/>
  <c r="AR31" i="5"/>
  <c r="AR13" i="5"/>
  <c r="AR51" i="5"/>
  <c r="AR36" i="5"/>
  <c r="AR79" i="5"/>
  <c r="AR78" i="5"/>
  <c r="AR54" i="5"/>
  <c r="AR53" i="5"/>
  <c r="AR84" i="5"/>
  <c r="AR12" i="5"/>
  <c r="AR41" i="5"/>
  <c r="K65" i="29"/>
  <c r="G65" i="29"/>
  <c r="I65" i="29" s="1"/>
  <c r="G64" i="29"/>
  <c r="I64" i="29" s="1"/>
  <c r="K64" i="29"/>
  <c r="AS66" i="5"/>
  <c r="AS65" i="5"/>
  <c r="AS63" i="5"/>
  <c r="AR76" i="5"/>
  <c r="AR85" i="5"/>
  <c r="AS11" i="5"/>
  <c r="AS10" i="5"/>
  <c r="AS8" i="5"/>
  <c r="AR81" i="5"/>
  <c r="AR69" i="5"/>
  <c r="AR70" i="5"/>
  <c r="AR86" i="5"/>
  <c r="AR68" i="5"/>
  <c r="AR74" i="5"/>
  <c r="AU64" i="5"/>
  <c r="AT62" i="5"/>
  <c r="AT7" i="5"/>
  <c r="AU9" i="5"/>
  <c r="AR72" i="5"/>
  <c r="AS77" i="5" l="1"/>
  <c r="N64" i="29"/>
  <c r="AS45" i="5"/>
  <c r="K31" i="29"/>
  <c r="K25" i="29" s="1"/>
  <c r="G3" i="29" s="1"/>
  <c r="N65" i="29"/>
  <c r="AS81" i="5"/>
  <c r="AS49" i="5"/>
  <c r="AS55" i="5"/>
  <c r="AS58" i="5"/>
  <c r="AS72" i="5"/>
  <c r="AS74" i="5"/>
  <c r="AS40" i="5"/>
  <c r="AS27" i="5"/>
  <c r="H64" i="29"/>
  <c r="L64" i="29" s="1"/>
  <c r="M64" i="29" s="1"/>
  <c r="H65" i="29"/>
  <c r="L65" i="29" s="1"/>
  <c r="AS24" i="5"/>
  <c r="AS83" i="5"/>
  <c r="AS67" i="5"/>
  <c r="AS35" i="5"/>
  <c r="AT66" i="5"/>
  <c r="AT65" i="5"/>
  <c r="AT63" i="5"/>
  <c r="AS34" i="5"/>
  <c r="AS48" i="5"/>
  <c r="AS18" i="5"/>
  <c r="AS82" i="5"/>
  <c r="AV64" i="5"/>
  <c r="AU62" i="5"/>
  <c r="AS86" i="5"/>
  <c r="AS80" i="5"/>
  <c r="AS38" i="5"/>
  <c r="AS14" i="5"/>
  <c r="AS53" i="5"/>
  <c r="AS41" i="5"/>
  <c r="AS57" i="5"/>
  <c r="AS61" i="5"/>
  <c r="AS19" i="5"/>
  <c r="AS39" i="5"/>
  <c r="AV9" i="5"/>
  <c r="AU7" i="5"/>
  <c r="AS85" i="5"/>
  <c r="AS42" i="5"/>
  <c r="AS12" i="5"/>
  <c r="AS31" i="5"/>
  <c r="AS71" i="5"/>
  <c r="AS68" i="5"/>
  <c r="AS25" i="5"/>
  <c r="AS50" i="5"/>
  <c r="AS70" i="5"/>
  <c r="AS17" i="5"/>
  <c r="AS43" i="5"/>
  <c r="AS76" i="5"/>
  <c r="AS28" i="5"/>
  <c r="AS26" i="5"/>
  <c r="AS46" i="5"/>
  <c r="AT11" i="5"/>
  <c r="AT10" i="5"/>
  <c r="AT8" i="5"/>
  <c r="AS36" i="5"/>
  <c r="AS56" i="5"/>
  <c r="AS15" i="5"/>
  <c r="AS52" i="5"/>
  <c r="AS51" i="5"/>
  <c r="AS13" i="5"/>
  <c r="AS78" i="5"/>
  <c r="AS54" i="5"/>
  <c r="AS30" i="5"/>
  <c r="AS20" i="5"/>
  <c r="AS22" i="5"/>
  <c r="AS37" i="5"/>
  <c r="AS16" i="5"/>
  <c r="AS73" i="5"/>
  <c r="AS84" i="5"/>
  <c r="AS29" i="5"/>
  <c r="AS59" i="5"/>
  <c r="AS23" i="5"/>
  <c r="AS60" i="5"/>
  <c r="AS79" i="5"/>
  <c r="AS32" i="5"/>
  <c r="AS44" i="5"/>
  <c r="AS69" i="5"/>
  <c r="AS21" i="5"/>
  <c r="AS33" i="5"/>
  <c r="AS47" i="5"/>
  <c r="AS75" i="5"/>
  <c r="AT45" i="5" l="1"/>
  <c r="AT77" i="5"/>
  <c r="AT74" i="5"/>
  <c r="AT72" i="5"/>
  <c r="AT76" i="5"/>
  <c r="AT86" i="5"/>
  <c r="AT32" i="5"/>
  <c r="AT73" i="5"/>
  <c r="AT78" i="5"/>
  <c r="AT79" i="5"/>
  <c r="AT69" i="5"/>
  <c r="AT84" i="5"/>
  <c r="AT75" i="5"/>
  <c r="AT68" i="5"/>
  <c r="AT71" i="5"/>
  <c r="AT80" i="5"/>
  <c r="AT70" i="5"/>
  <c r="AT85" i="5"/>
  <c r="AT82" i="5"/>
  <c r="AT67" i="5"/>
  <c r="AT81" i="5"/>
  <c r="AT83" i="5"/>
  <c r="AT44" i="5"/>
  <c r="AT29" i="5"/>
  <c r="AT54" i="5"/>
  <c r="AT41" i="5"/>
  <c r="AT53" i="5"/>
  <c r="AT60" i="5"/>
  <c r="AT16" i="5"/>
  <c r="AT51" i="5"/>
  <c r="AT46" i="5"/>
  <c r="AT25" i="5"/>
  <c r="AT47" i="5"/>
  <c r="AT23" i="5"/>
  <c r="AT37" i="5"/>
  <c r="AT52" i="5"/>
  <c r="AT26" i="5"/>
  <c r="AT33" i="5"/>
  <c r="AT59" i="5"/>
  <c r="AT22" i="5"/>
  <c r="AT15" i="5"/>
  <c r="AT28" i="5"/>
  <c r="AT21" i="5"/>
  <c r="AT20" i="5"/>
  <c r="AT56" i="5"/>
  <c r="AT49" i="5"/>
  <c r="AT30" i="5"/>
  <c r="AT36" i="5"/>
  <c r="AT43" i="5"/>
  <c r="M65" i="29"/>
  <c r="AU10" i="5"/>
  <c r="AU8" i="5"/>
  <c r="AU11" i="5"/>
  <c r="AT35" i="5"/>
  <c r="AW9" i="5"/>
  <c r="AV7" i="5"/>
  <c r="AT18" i="5"/>
  <c r="AT39" i="5"/>
  <c r="AT14" i="5"/>
  <c r="AT55" i="5"/>
  <c r="AT40" i="5"/>
  <c r="AT19" i="5"/>
  <c r="AT38" i="5"/>
  <c r="AT48" i="5"/>
  <c r="AT31" i="5"/>
  <c r="AT61" i="5"/>
  <c r="AT34" i="5"/>
  <c r="AT24" i="5"/>
  <c r="AT17" i="5"/>
  <c r="AT12" i="5"/>
  <c r="AT27" i="5"/>
  <c r="AT42" i="5"/>
  <c r="AT58" i="5"/>
  <c r="AU65" i="5"/>
  <c r="AU77" i="5" s="1"/>
  <c r="AU63" i="5"/>
  <c r="AU66" i="5"/>
  <c r="AT13" i="5"/>
  <c r="AT50" i="5"/>
  <c r="AT57" i="5"/>
  <c r="AW64" i="5"/>
  <c r="AV62" i="5"/>
  <c r="AU52" i="5" l="1"/>
  <c r="AU32" i="5"/>
  <c r="AU28" i="5"/>
  <c r="AU41" i="5"/>
  <c r="AU13" i="5"/>
  <c r="AU12" i="5"/>
  <c r="AU48" i="5"/>
  <c r="AU17" i="5"/>
  <c r="AU27" i="5"/>
  <c r="AU38" i="5"/>
  <c r="AU49" i="5"/>
  <c r="AU21" i="5"/>
  <c r="AU18" i="5"/>
  <c r="AU15" i="5"/>
  <c r="AU47" i="5"/>
  <c r="AU54" i="5"/>
  <c r="AU22" i="5"/>
  <c r="AU60" i="5"/>
  <c r="AU58" i="5"/>
  <c r="AU24" i="5"/>
  <c r="AU20" i="5"/>
  <c r="AU33" i="5"/>
  <c r="AU42" i="5"/>
  <c r="AU34" i="5"/>
  <c r="AU57" i="5"/>
  <c r="AU50" i="5"/>
  <c r="AU61" i="5"/>
  <c r="AU29" i="5"/>
  <c r="AU46" i="5"/>
  <c r="AU51" i="5"/>
  <c r="AU56" i="5"/>
  <c r="AU85" i="5"/>
  <c r="AU84" i="5"/>
  <c r="AU30" i="5"/>
  <c r="AU69" i="5"/>
  <c r="AU78" i="5"/>
  <c r="AU74" i="5"/>
  <c r="AU83" i="5"/>
  <c r="AU53" i="5"/>
  <c r="AU73" i="5"/>
  <c r="AU72" i="5"/>
  <c r="AU80" i="5"/>
  <c r="AU79" i="5"/>
  <c r="AU39" i="5"/>
  <c r="AU70" i="5"/>
  <c r="AU31" i="5"/>
  <c r="AU71" i="5"/>
  <c r="AV65" i="5"/>
  <c r="AV77" i="5" s="1"/>
  <c r="AV63" i="5"/>
  <c r="AV66" i="5"/>
  <c r="AU82" i="5"/>
  <c r="AV10" i="5"/>
  <c r="AV8" i="5"/>
  <c r="AV11" i="5"/>
  <c r="AX9" i="5"/>
  <c r="AW7" i="5"/>
  <c r="AU68" i="5"/>
  <c r="AX64" i="5"/>
  <c r="AW62" i="5"/>
  <c r="AU75" i="5"/>
  <c r="AU44" i="5"/>
  <c r="AU43" i="5"/>
  <c r="AU19" i="5"/>
  <c r="AU55" i="5"/>
  <c r="AU59" i="5"/>
  <c r="AU26" i="5"/>
  <c r="AU25" i="5"/>
  <c r="AU23" i="5"/>
  <c r="AU36" i="5"/>
  <c r="AU40" i="5"/>
  <c r="AU81" i="5"/>
  <c r="AU16" i="5"/>
  <c r="AU37" i="5"/>
  <c r="AU45" i="5"/>
  <c r="AU86" i="5"/>
  <c r="AU76" i="5"/>
  <c r="AU14" i="5"/>
  <c r="AU67" i="5"/>
  <c r="AU35" i="5"/>
  <c r="AV39" i="5" l="1"/>
  <c r="AV81" i="5"/>
  <c r="AV79" i="5"/>
  <c r="AV69" i="5"/>
  <c r="AV80" i="5"/>
  <c r="AV52" i="5"/>
  <c r="AV16" i="5"/>
  <c r="AV45" i="5"/>
  <c r="AV14" i="5"/>
  <c r="AV32" i="5"/>
  <c r="AV35" i="5"/>
  <c r="AV68" i="5"/>
  <c r="AV67" i="5"/>
  <c r="AV84" i="5"/>
  <c r="AV85" i="5"/>
  <c r="AV76" i="5"/>
  <c r="AV78" i="5"/>
  <c r="AV31" i="5"/>
  <c r="AV83" i="5"/>
  <c r="AV75" i="5"/>
  <c r="AV23" i="5"/>
  <c r="AV19" i="5"/>
  <c r="AV27" i="5"/>
  <c r="AV22" i="5"/>
  <c r="AV47" i="5"/>
  <c r="AV43" i="5"/>
  <c r="AV29" i="5"/>
  <c r="AV44" i="5"/>
  <c r="AV60" i="5"/>
  <c r="AV72" i="5"/>
  <c r="AV49" i="5"/>
  <c r="AV40" i="5"/>
  <c r="AV25" i="5"/>
  <c r="AV73" i="5"/>
  <c r="AV46" i="5"/>
  <c r="AV36" i="5"/>
  <c r="AV26" i="5"/>
  <c r="AV61" i="5"/>
  <c r="AV71" i="5"/>
  <c r="AV74" i="5"/>
  <c r="AV58" i="5"/>
  <c r="AV59" i="5"/>
  <c r="AV15" i="5"/>
  <c r="AV86" i="5"/>
  <c r="AV21" i="5"/>
  <c r="AV82" i="5"/>
  <c r="AX7" i="5"/>
  <c r="AY9" i="5"/>
  <c r="AV53" i="5"/>
  <c r="AV56" i="5"/>
  <c r="AV33" i="5"/>
  <c r="AV20" i="5"/>
  <c r="AV24" i="5"/>
  <c r="AV13" i="5"/>
  <c r="AV38" i="5"/>
  <c r="AV48" i="5"/>
  <c r="AV28" i="5"/>
  <c r="AV51" i="5"/>
  <c r="AV34" i="5"/>
  <c r="AW63" i="5"/>
  <c r="AW66" i="5"/>
  <c r="AW65" i="5"/>
  <c r="AV50" i="5"/>
  <c r="AV54" i="5"/>
  <c r="AV42" i="5"/>
  <c r="AV37" i="5"/>
  <c r="AV55" i="5"/>
  <c r="AX62" i="5"/>
  <c r="AY64" i="5"/>
  <c r="AV12" i="5"/>
  <c r="AV17" i="5"/>
  <c r="AV57" i="5"/>
  <c r="AV18" i="5"/>
  <c r="AV30" i="5"/>
  <c r="AW8" i="5"/>
  <c r="AW11" i="5"/>
  <c r="AW10" i="5"/>
  <c r="AV70" i="5"/>
  <c r="AV41" i="5"/>
  <c r="AW39" i="5" l="1"/>
  <c r="AW67" i="5"/>
  <c r="AW16" i="5"/>
  <c r="AW41" i="5"/>
  <c r="AW38" i="5"/>
  <c r="AW13" i="5"/>
  <c r="AW20" i="5"/>
  <c r="AW29" i="5"/>
  <c r="AW45" i="5"/>
  <c r="AZ64" i="5"/>
  <c r="AY62" i="5"/>
  <c r="AW24" i="5"/>
  <c r="AW33" i="5"/>
  <c r="AY7" i="5"/>
  <c r="AZ9" i="5"/>
  <c r="AX8" i="5"/>
  <c r="AX11" i="5"/>
  <c r="AX10" i="5"/>
  <c r="AW79" i="5"/>
  <c r="AW27" i="5"/>
  <c r="AW71" i="5"/>
  <c r="AW14" i="5"/>
  <c r="AW60" i="5"/>
  <c r="AW26" i="5"/>
  <c r="AW25" i="5"/>
  <c r="AW21" i="5"/>
  <c r="AW15" i="5"/>
  <c r="AW68" i="5"/>
  <c r="AW30" i="5"/>
  <c r="AW73" i="5"/>
  <c r="AW81" i="5"/>
  <c r="AW86" i="5"/>
  <c r="AW32" i="5"/>
  <c r="AW23" i="5"/>
  <c r="AW47" i="5"/>
  <c r="AW22" i="5"/>
  <c r="AW43" i="5"/>
  <c r="AW70" i="5"/>
  <c r="AW18" i="5"/>
  <c r="AW37" i="5"/>
  <c r="AW82" i="5"/>
  <c r="AW49" i="5"/>
  <c r="AW40" i="5"/>
  <c r="AW78" i="5"/>
  <c r="AW75" i="5"/>
  <c r="AW44" i="5"/>
  <c r="AW85" i="5"/>
  <c r="AW57" i="5"/>
  <c r="AW42" i="5"/>
  <c r="AW83" i="5"/>
  <c r="AW34" i="5"/>
  <c r="AW51" i="5"/>
  <c r="AW76" i="5"/>
  <c r="AW69" i="5"/>
  <c r="AW84" i="5"/>
  <c r="AW31" i="5"/>
  <c r="AW55" i="5"/>
  <c r="AW17" i="5"/>
  <c r="AW59" i="5"/>
  <c r="AW54" i="5"/>
  <c r="AW74" i="5"/>
  <c r="AW28" i="5"/>
  <c r="AW46" i="5"/>
  <c r="AW36" i="5"/>
  <c r="AW56" i="5"/>
  <c r="AW77" i="5"/>
  <c r="AX63" i="5"/>
  <c r="AX66" i="5"/>
  <c r="AX65" i="5"/>
  <c r="AW80" i="5"/>
  <c r="AW72" i="5"/>
  <c r="AW19" i="5"/>
  <c r="AW52" i="5"/>
  <c r="AW12" i="5"/>
  <c r="AW58" i="5"/>
  <c r="AW50" i="5"/>
  <c r="AW61" i="5"/>
  <c r="AW48" i="5"/>
  <c r="AW35" i="5"/>
  <c r="AW53" i="5"/>
  <c r="AX39" i="5" l="1"/>
  <c r="AX67" i="5"/>
  <c r="AX77" i="5"/>
  <c r="AX72" i="5"/>
  <c r="AX42" i="5"/>
  <c r="AX53" i="5"/>
  <c r="AX19" i="5"/>
  <c r="AX36" i="5"/>
  <c r="AX80" i="5"/>
  <c r="AX84" i="5"/>
  <c r="AX31" i="5"/>
  <c r="AX57" i="5"/>
  <c r="AX28" i="5"/>
  <c r="AX23" i="5"/>
  <c r="AX46" i="5"/>
  <c r="AX61" i="5"/>
  <c r="AX50" i="5"/>
  <c r="AX54" i="5"/>
  <c r="AX76" i="5"/>
  <c r="AX44" i="5"/>
  <c r="AX70" i="5"/>
  <c r="AX16" i="5"/>
  <c r="AX35" i="5"/>
  <c r="AX37" i="5"/>
  <c r="AX58" i="5"/>
  <c r="AX59" i="5"/>
  <c r="AX49" i="5"/>
  <c r="AX17" i="5"/>
  <c r="AX68" i="5"/>
  <c r="AX27" i="5"/>
  <c r="AX48" i="5"/>
  <c r="AX20" i="5"/>
  <c r="AX12" i="5"/>
  <c r="AX52" i="5"/>
  <c r="AX47" i="5"/>
  <c r="AX15" i="5"/>
  <c r="AX82" i="5"/>
  <c r="AX26" i="5"/>
  <c r="AX81" i="5"/>
  <c r="AY8" i="5"/>
  <c r="AY11" i="5"/>
  <c r="AY10" i="5"/>
  <c r="AX79" i="5"/>
  <c r="AX33" i="5"/>
  <c r="AX32" i="5"/>
  <c r="AX21" i="5"/>
  <c r="AX29" i="5"/>
  <c r="AX24" i="5"/>
  <c r="AX74" i="5"/>
  <c r="AX69" i="5"/>
  <c r="AX85" i="5"/>
  <c r="AX18" i="5"/>
  <c r="AX86" i="5"/>
  <c r="AX25" i="5"/>
  <c r="AX41" i="5"/>
  <c r="AX38" i="5"/>
  <c r="AY63" i="5"/>
  <c r="AY66" i="5"/>
  <c r="AY65" i="5"/>
  <c r="AX51" i="5"/>
  <c r="AX75" i="5"/>
  <c r="AX45" i="5"/>
  <c r="AX73" i="5"/>
  <c r="AX60" i="5"/>
  <c r="AZ62" i="5"/>
  <c r="BA64" i="5"/>
  <c r="AX34" i="5"/>
  <c r="AX78" i="5"/>
  <c r="AX43" i="5"/>
  <c r="AX30" i="5"/>
  <c r="AX14" i="5"/>
  <c r="AX56" i="5"/>
  <c r="AX55" i="5"/>
  <c r="AX83" i="5"/>
  <c r="AX40" i="5"/>
  <c r="AX22" i="5"/>
  <c r="AX13" i="5"/>
  <c r="AX71" i="5"/>
  <c r="AZ7" i="5"/>
  <c r="BA9" i="5"/>
  <c r="AY39" i="5" l="1"/>
  <c r="AY67" i="5"/>
  <c r="AY83" i="5"/>
  <c r="AY12" i="5"/>
  <c r="AY50" i="5"/>
  <c r="AY35" i="5"/>
  <c r="AY22" i="5"/>
  <c r="AY52" i="5"/>
  <c r="AY31" i="5"/>
  <c r="AY40" i="5"/>
  <c r="AY32" i="5"/>
  <c r="AY42" i="5"/>
  <c r="AY56" i="5"/>
  <c r="AY37" i="5"/>
  <c r="AY30" i="5"/>
  <c r="AY34" i="5"/>
  <c r="AY20" i="5"/>
  <c r="AY14" i="5"/>
  <c r="AY55" i="5"/>
  <c r="AY73" i="5"/>
  <c r="AY26" i="5"/>
  <c r="AY69" i="5"/>
  <c r="AY59" i="5"/>
  <c r="AY58" i="5"/>
  <c r="AY43" i="5"/>
  <c r="AY78" i="5"/>
  <c r="AY71" i="5"/>
  <c r="AY17" i="5"/>
  <c r="AY70" i="5"/>
  <c r="AY13" i="5"/>
  <c r="AY76" i="5"/>
  <c r="AY51" i="5"/>
  <c r="AY74" i="5"/>
  <c r="AY54" i="5"/>
  <c r="AY38" i="5"/>
  <c r="AY61" i="5"/>
  <c r="AY16" i="5"/>
  <c r="AY27" i="5"/>
  <c r="AY60" i="5"/>
  <c r="AY72" i="5"/>
  <c r="AY41" i="5"/>
  <c r="AY57" i="5"/>
  <c r="AY33" i="5"/>
  <c r="AY47" i="5"/>
  <c r="AY25" i="5"/>
  <c r="AY79" i="5"/>
  <c r="AY77" i="5"/>
  <c r="AY45" i="5"/>
  <c r="AY29" i="5"/>
  <c r="AY15" i="5"/>
  <c r="AY36" i="5"/>
  <c r="AY44" i="5"/>
  <c r="AY18" i="5"/>
  <c r="AY21" i="5"/>
  <c r="AY23" i="5"/>
  <c r="BA7" i="5"/>
  <c r="BB9" i="5"/>
  <c r="AZ8" i="5"/>
  <c r="AZ11" i="5"/>
  <c r="AZ10" i="5"/>
  <c r="AY80" i="5"/>
  <c r="AY68" i="5"/>
  <c r="BA62" i="5"/>
  <c r="BB64" i="5"/>
  <c r="AY84" i="5"/>
  <c r="AY82" i="5"/>
  <c r="AY75" i="5"/>
  <c r="AY86" i="5"/>
  <c r="AY19" i="5"/>
  <c r="AY28" i="5"/>
  <c r="AY46" i="5"/>
  <c r="AY49" i="5"/>
  <c r="AZ63" i="5"/>
  <c r="AZ66" i="5"/>
  <c r="AZ65" i="5"/>
  <c r="AY24" i="5"/>
  <c r="AY48" i="5"/>
  <c r="AY53" i="5"/>
  <c r="AY81" i="5"/>
  <c r="AY85" i="5"/>
  <c r="AZ67" i="5" l="1"/>
  <c r="AZ38" i="5"/>
  <c r="AZ77" i="5"/>
  <c r="AZ72" i="5"/>
  <c r="AZ83" i="5"/>
  <c r="AZ85" i="5"/>
  <c r="AZ78" i="5"/>
  <c r="BA11" i="5"/>
  <c r="BA10" i="5"/>
  <c r="BA8" i="5"/>
  <c r="AZ13" i="5"/>
  <c r="AZ23" i="5"/>
  <c r="AZ45" i="5"/>
  <c r="AZ60" i="5"/>
  <c r="AZ33" i="5"/>
  <c r="AZ53" i="5"/>
  <c r="AZ54" i="5"/>
  <c r="AZ31" i="5"/>
  <c r="AZ80" i="5"/>
  <c r="AZ52" i="5"/>
  <c r="AZ21" i="5"/>
  <c r="AZ14" i="5"/>
  <c r="AZ81" i="5"/>
  <c r="AZ48" i="5"/>
  <c r="AZ12" i="5"/>
  <c r="AZ86" i="5"/>
  <c r="AZ56" i="5"/>
  <c r="AZ71" i="5"/>
  <c r="AZ41" i="5"/>
  <c r="AZ27" i="5"/>
  <c r="AZ79" i="5"/>
  <c r="AZ69" i="5"/>
  <c r="AZ16" i="5"/>
  <c r="AZ75" i="5"/>
  <c r="AZ47" i="5"/>
  <c r="BC64" i="5"/>
  <c r="BB62" i="5"/>
  <c r="AZ73" i="5"/>
  <c r="AZ15" i="5"/>
  <c r="AZ32" i="5"/>
  <c r="AZ70" i="5"/>
  <c r="AZ25" i="5"/>
  <c r="AZ29" i="5"/>
  <c r="AZ22" i="5"/>
  <c r="BA66" i="5"/>
  <c r="BA65" i="5"/>
  <c r="BA63" i="5"/>
  <c r="AZ17" i="5"/>
  <c r="AZ37" i="5"/>
  <c r="AZ74" i="5"/>
  <c r="AZ58" i="5"/>
  <c r="AZ50" i="5"/>
  <c r="AZ28" i="5"/>
  <c r="AZ20" i="5"/>
  <c r="AZ24" i="5"/>
  <c r="AZ42" i="5"/>
  <c r="AZ18" i="5"/>
  <c r="AZ44" i="5"/>
  <c r="AZ26" i="5"/>
  <c r="AZ36" i="5"/>
  <c r="AZ84" i="5"/>
  <c r="AZ43" i="5"/>
  <c r="AZ76" i="5"/>
  <c r="AZ61" i="5"/>
  <c r="AZ35" i="5"/>
  <c r="AZ39" i="5"/>
  <c r="AZ46" i="5"/>
  <c r="AZ19" i="5"/>
  <c r="AZ59" i="5"/>
  <c r="AZ82" i="5"/>
  <c r="AZ30" i="5"/>
  <c r="AZ55" i="5"/>
  <c r="AZ51" i="5"/>
  <c r="AZ49" i="5"/>
  <c r="AZ40" i="5"/>
  <c r="AZ57" i="5"/>
  <c r="AZ68" i="5"/>
  <c r="AZ34" i="5"/>
  <c r="BB7" i="5"/>
  <c r="BC9" i="5"/>
  <c r="BA67" i="5" l="1"/>
  <c r="BA35" i="5"/>
  <c r="BA37" i="5"/>
  <c r="BA51" i="5"/>
  <c r="BA18" i="5"/>
  <c r="BA49" i="5"/>
  <c r="BA39" i="5"/>
  <c r="BA44" i="5"/>
  <c r="BA25" i="5"/>
  <c r="BA38" i="5"/>
  <c r="BA16" i="5"/>
  <c r="BA12" i="5"/>
  <c r="BA54" i="5"/>
  <c r="BA32" i="5"/>
  <c r="BA30" i="5"/>
  <c r="BA24" i="5"/>
  <c r="BA42" i="5"/>
  <c r="BA43" i="5"/>
  <c r="BA20" i="5"/>
  <c r="BA17" i="5"/>
  <c r="BA59" i="5"/>
  <c r="BA55" i="5"/>
  <c r="BA34" i="5"/>
  <c r="BA57" i="5"/>
  <c r="BA61" i="5"/>
  <c r="BA68" i="5"/>
  <c r="BA19" i="5"/>
  <c r="BA40" i="5"/>
  <c r="BA46" i="5"/>
  <c r="BA78" i="5"/>
  <c r="BA47" i="5"/>
  <c r="BA56" i="5"/>
  <c r="BA13" i="5"/>
  <c r="BA77" i="5"/>
  <c r="BA75" i="5"/>
  <c r="BA31" i="5"/>
  <c r="BA82" i="5"/>
  <c r="BA76" i="5"/>
  <c r="BA26" i="5"/>
  <c r="BA58" i="5"/>
  <c r="BA29" i="5"/>
  <c r="BA52" i="5"/>
  <c r="BA23" i="5"/>
  <c r="BA48" i="5"/>
  <c r="BA53" i="5"/>
  <c r="BA15" i="5"/>
  <c r="BA28" i="5"/>
  <c r="BA36" i="5"/>
  <c r="BA50" i="5"/>
  <c r="BA22" i="5"/>
  <c r="BA70" i="5"/>
  <c r="BA85" i="5"/>
  <c r="BA84" i="5"/>
  <c r="BA41" i="5"/>
  <c r="BA45" i="5"/>
  <c r="BA86" i="5"/>
  <c r="BA80" i="5"/>
  <c r="BA69" i="5"/>
  <c r="BD9" i="5"/>
  <c r="BC7" i="5"/>
  <c r="BA73" i="5"/>
  <c r="BA79" i="5"/>
  <c r="BA81" i="5"/>
  <c r="BB66" i="5"/>
  <c r="BB65" i="5"/>
  <c r="BB67" i="5" s="1"/>
  <c r="BB63" i="5"/>
  <c r="BA27" i="5"/>
  <c r="BA83" i="5"/>
  <c r="BA72" i="5"/>
  <c r="BB11" i="5"/>
  <c r="BB10" i="5"/>
  <c r="BB8" i="5"/>
  <c r="BD64" i="5"/>
  <c r="BC62" i="5"/>
  <c r="BA14" i="5"/>
  <c r="BA33" i="5"/>
  <c r="BA74" i="5"/>
  <c r="BA71" i="5"/>
  <c r="BA21" i="5"/>
  <c r="BA60" i="5"/>
  <c r="BB38" i="5" l="1"/>
  <c r="BB74" i="5"/>
  <c r="BB85" i="5"/>
  <c r="BB72" i="5"/>
  <c r="BB73" i="5"/>
  <c r="BB86" i="5"/>
  <c r="BB78" i="5"/>
  <c r="BB68" i="5"/>
  <c r="BB71" i="5"/>
  <c r="BB83" i="5"/>
  <c r="BB75" i="5"/>
  <c r="BB69" i="5"/>
  <c r="BB60" i="5"/>
  <c r="BB48" i="5"/>
  <c r="BB31" i="5"/>
  <c r="BB56" i="5"/>
  <c r="BE64" i="5"/>
  <c r="BD62" i="5"/>
  <c r="BB29" i="5"/>
  <c r="BB36" i="5"/>
  <c r="BB84" i="5"/>
  <c r="BB15" i="5"/>
  <c r="BB16" i="5"/>
  <c r="BB70" i="5"/>
  <c r="BB77" i="5"/>
  <c r="BB50" i="5"/>
  <c r="BB28" i="5"/>
  <c r="BB12" i="5"/>
  <c r="BB58" i="5"/>
  <c r="BB47" i="5"/>
  <c r="BB30" i="5"/>
  <c r="BB26" i="5"/>
  <c r="BB40" i="5"/>
  <c r="BB19" i="5"/>
  <c r="BB20" i="5"/>
  <c r="BB32" i="5"/>
  <c r="BB17" i="5"/>
  <c r="BB37" i="5"/>
  <c r="BB21" i="5"/>
  <c r="BB25" i="5"/>
  <c r="BB33" i="5"/>
  <c r="BB46" i="5"/>
  <c r="BB27" i="5"/>
  <c r="BB61" i="5"/>
  <c r="BB76" i="5"/>
  <c r="BB43" i="5"/>
  <c r="BB24" i="5"/>
  <c r="BB42" i="5"/>
  <c r="BB18" i="5"/>
  <c r="BB22" i="5"/>
  <c r="BB53" i="5"/>
  <c r="BC10" i="5"/>
  <c r="BC8" i="5"/>
  <c r="BC11" i="5"/>
  <c r="BB59" i="5"/>
  <c r="BB34" i="5"/>
  <c r="BB35" i="5"/>
  <c r="BB55" i="5"/>
  <c r="BB51" i="5"/>
  <c r="BB14" i="5"/>
  <c r="BB49" i="5"/>
  <c r="BB44" i="5"/>
  <c r="BB41" i="5"/>
  <c r="BB57" i="5"/>
  <c r="BB81" i="5"/>
  <c r="BE9" i="5"/>
  <c r="BD7" i="5"/>
  <c r="BB82" i="5"/>
  <c r="BB23" i="5"/>
  <c r="BB45" i="5"/>
  <c r="BB39" i="5"/>
  <c r="BC65" i="5"/>
  <c r="BC67" i="5" s="1"/>
  <c r="BC63" i="5"/>
  <c r="BC66" i="5"/>
  <c r="BB79" i="5"/>
  <c r="BB54" i="5"/>
  <c r="BB13" i="5"/>
  <c r="BB80" i="5"/>
  <c r="BB52" i="5"/>
  <c r="BC57" i="5" l="1"/>
  <c r="BC38" i="5"/>
  <c r="BC54" i="5"/>
  <c r="BC35" i="5"/>
  <c r="BC18" i="5"/>
  <c r="BC33" i="5"/>
  <c r="BC34" i="5"/>
  <c r="BC52" i="5"/>
  <c r="BC39" i="5"/>
  <c r="BC45" i="5"/>
  <c r="BC44" i="5"/>
  <c r="BC42" i="5"/>
  <c r="BC41" i="5"/>
  <c r="BC59" i="5"/>
  <c r="BC13" i="5"/>
  <c r="BC40" i="5"/>
  <c r="BC14" i="5"/>
  <c r="BC25" i="5"/>
  <c r="BC80" i="5"/>
  <c r="BC19" i="5"/>
  <c r="BC28" i="5"/>
  <c r="BC36" i="5"/>
  <c r="BF64" i="5"/>
  <c r="BE62" i="5"/>
  <c r="BC50" i="5"/>
  <c r="BC72" i="5"/>
  <c r="BC56" i="5"/>
  <c r="BC23" i="5"/>
  <c r="BC49" i="5"/>
  <c r="BC24" i="5"/>
  <c r="BC71" i="5"/>
  <c r="BC83" i="5"/>
  <c r="BC78" i="5"/>
  <c r="BC68" i="5"/>
  <c r="BC86" i="5"/>
  <c r="BC43" i="5"/>
  <c r="BC21" i="5"/>
  <c r="BC26" i="5"/>
  <c r="BC77" i="5"/>
  <c r="BC60" i="5"/>
  <c r="BC31" i="5"/>
  <c r="BD10" i="5"/>
  <c r="BD38" i="5" s="1"/>
  <c r="BD8" i="5"/>
  <c r="BD11" i="5"/>
  <c r="BC76" i="5"/>
  <c r="BC37" i="5"/>
  <c r="BC30" i="5"/>
  <c r="BC70" i="5"/>
  <c r="BC75" i="5"/>
  <c r="BC48" i="5"/>
  <c r="BC82" i="5"/>
  <c r="BF9" i="5"/>
  <c r="BE7" i="5"/>
  <c r="BC51" i="5"/>
  <c r="BC53" i="5"/>
  <c r="BC61" i="5"/>
  <c r="BC17" i="5"/>
  <c r="BC47" i="5"/>
  <c r="BC16" i="5"/>
  <c r="BC85" i="5"/>
  <c r="BC73" i="5"/>
  <c r="BC79" i="5"/>
  <c r="BC69" i="5"/>
  <c r="BC81" i="5"/>
  <c r="BC55" i="5"/>
  <c r="BC74" i="5"/>
  <c r="BC27" i="5"/>
  <c r="BC32" i="5"/>
  <c r="BC58" i="5"/>
  <c r="BC15" i="5"/>
  <c r="BC29" i="5"/>
  <c r="BC22" i="5"/>
  <c r="BC46" i="5"/>
  <c r="BC20" i="5"/>
  <c r="BC12" i="5"/>
  <c r="BC84" i="5"/>
  <c r="BD65" i="5"/>
  <c r="BD67" i="5" s="1"/>
  <c r="BD63" i="5"/>
  <c r="BD66" i="5"/>
  <c r="BD48" i="5" l="1"/>
  <c r="BD22" i="5"/>
  <c r="BD61" i="5"/>
  <c r="BD60" i="5"/>
  <c r="BD55" i="5"/>
  <c r="BD52" i="5"/>
  <c r="BD12" i="5"/>
  <c r="BD58" i="5"/>
  <c r="BD17" i="5"/>
  <c r="BD29" i="5"/>
  <c r="BD20" i="5"/>
  <c r="BD57" i="5"/>
  <c r="BD46" i="5"/>
  <c r="BD15" i="5"/>
  <c r="BD51" i="5"/>
  <c r="BD37" i="5"/>
  <c r="BD26" i="5"/>
  <c r="BD36" i="5"/>
  <c r="BD32" i="5"/>
  <c r="BD85" i="5"/>
  <c r="BD21" i="5"/>
  <c r="BD28" i="5"/>
  <c r="BD27" i="5"/>
  <c r="BD16" i="5"/>
  <c r="BD43" i="5"/>
  <c r="BD35" i="5"/>
  <c r="BD74" i="5"/>
  <c r="BD47" i="5"/>
  <c r="BD44" i="5"/>
  <c r="BD56" i="5"/>
  <c r="BF7" i="5"/>
  <c r="BG9" i="5"/>
  <c r="BD78" i="5"/>
  <c r="BD82" i="5"/>
  <c r="BD76" i="5"/>
  <c r="BD83" i="5"/>
  <c r="BD72" i="5"/>
  <c r="BD71" i="5"/>
  <c r="BD50" i="5"/>
  <c r="BD19" i="5"/>
  <c r="BD84" i="5"/>
  <c r="BD69" i="5"/>
  <c r="BD39" i="5"/>
  <c r="BD14" i="5"/>
  <c r="BD24" i="5"/>
  <c r="BD40" i="5"/>
  <c r="BD33" i="5"/>
  <c r="BD79" i="5"/>
  <c r="BD59" i="5"/>
  <c r="BD49" i="5"/>
  <c r="BD25" i="5"/>
  <c r="BD18" i="5"/>
  <c r="BD81" i="5"/>
  <c r="BD54" i="5"/>
  <c r="BD53" i="5"/>
  <c r="BD75" i="5"/>
  <c r="BD31" i="5"/>
  <c r="BD41" i="5"/>
  <c r="BD23" i="5"/>
  <c r="BD45" i="5"/>
  <c r="BD34" i="5"/>
  <c r="BD80" i="5"/>
  <c r="BD70" i="5"/>
  <c r="BD86" i="5"/>
  <c r="BD13" i="5"/>
  <c r="BE63" i="5"/>
  <c r="BE66" i="5"/>
  <c r="BE65" i="5"/>
  <c r="BE85" i="5" s="1"/>
  <c r="BD73" i="5"/>
  <c r="BE8" i="5"/>
  <c r="BE11" i="5"/>
  <c r="BE10" i="5"/>
  <c r="BE38" i="5" s="1"/>
  <c r="BD30" i="5"/>
  <c r="BD77" i="5"/>
  <c r="BD68" i="5"/>
  <c r="BD42" i="5"/>
  <c r="BF62" i="5"/>
  <c r="BG64" i="5"/>
  <c r="BE30" i="5" l="1"/>
  <c r="BE73" i="5"/>
  <c r="BE42" i="5"/>
  <c r="BE23" i="5"/>
  <c r="BE86" i="5"/>
  <c r="BE13" i="5"/>
  <c r="BE34" i="5"/>
  <c r="BE58" i="5"/>
  <c r="BE59" i="5"/>
  <c r="BE24" i="5"/>
  <c r="BE57" i="5"/>
  <c r="BE28" i="5"/>
  <c r="BE56" i="5"/>
  <c r="BE45" i="5"/>
  <c r="BE20" i="5"/>
  <c r="BE48" i="5"/>
  <c r="BE14" i="5"/>
  <c r="BE19" i="5"/>
  <c r="BE72" i="5"/>
  <c r="BE78" i="5"/>
  <c r="BE15" i="5"/>
  <c r="BE61" i="5"/>
  <c r="BE83" i="5"/>
  <c r="BE26" i="5"/>
  <c r="BE27" i="5"/>
  <c r="BE39" i="5"/>
  <c r="BE68" i="5"/>
  <c r="BE22" i="5"/>
  <c r="BE70" i="5"/>
  <c r="BE41" i="5"/>
  <c r="BE81" i="5"/>
  <c r="BE79" i="5"/>
  <c r="BE17" i="5"/>
  <c r="BE71" i="5"/>
  <c r="BE21" i="5"/>
  <c r="BE37" i="5"/>
  <c r="BE60" i="5"/>
  <c r="BE50" i="5"/>
  <c r="BE77" i="5"/>
  <c r="BE16" i="5"/>
  <c r="BE51" i="5"/>
  <c r="BE31" i="5"/>
  <c r="BE55" i="5"/>
  <c r="BE12" i="5"/>
  <c r="BE69" i="5"/>
  <c r="BE43" i="5"/>
  <c r="BE76" i="5"/>
  <c r="BG7" i="5"/>
  <c r="BH9" i="5"/>
  <c r="BE80" i="5"/>
  <c r="BE75" i="5"/>
  <c r="BE18" i="5"/>
  <c r="BE74" i="5"/>
  <c r="BE29" i="5"/>
  <c r="BE44" i="5"/>
  <c r="BE82" i="5"/>
  <c r="BF8" i="5"/>
  <c r="BF11" i="5"/>
  <c r="BF10" i="5"/>
  <c r="BF38" i="5" s="1"/>
  <c r="BH64" i="5"/>
  <c r="BG62" i="5"/>
  <c r="BE53" i="5"/>
  <c r="BE84" i="5"/>
  <c r="BE35" i="5"/>
  <c r="BE67" i="5"/>
  <c r="BF63" i="5"/>
  <c r="BF66" i="5"/>
  <c r="BF65" i="5"/>
  <c r="BF85" i="5" s="1"/>
  <c r="BE32" i="5"/>
  <c r="BE25" i="5"/>
  <c r="BE33" i="5"/>
  <c r="BE47" i="5"/>
  <c r="BE46" i="5"/>
  <c r="BE54" i="5"/>
  <c r="BE49" i="5"/>
  <c r="BE40" i="5"/>
  <c r="BE52" i="5"/>
  <c r="BE36" i="5"/>
  <c r="BF18" i="5" l="1"/>
  <c r="BF40" i="5"/>
  <c r="BF51" i="5"/>
  <c r="BF35" i="5"/>
  <c r="BF49" i="5"/>
  <c r="BF47" i="5"/>
  <c r="BF82" i="5"/>
  <c r="BF33" i="5"/>
  <c r="BF44" i="5"/>
  <c r="BF54" i="5"/>
  <c r="BF36" i="5"/>
  <c r="BF25" i="5"/>
  <c r="BF53" i="5"/>
  <c r="BF29" i="5"/>
  <c r="BF43" i="5"/>
  <c r="BF50" i="5"/>
  <c r="BF41" i="5"/>
  <c r="BF52" i="5"/>
  <c r="BF32" i="5"/>
  <c r="BF74" i="5"/>
  <c r="BF60" i="5"/>
  <c r="BF76" i="5"/>
  <c r="BF77" i="5"/>
  <c r="BF79" i="5"/>
  <c r="BF86" i="5"/>
  <c r="BF19" i="5"/>
  <c r="BF57" i="5"/>
  <c r="BG63" i="5"/>
  <c r="BG66" i="5"/>
  <c r="BG65" i="5"/>
  <c r="BG85" i="5" s="1"/>
  <c r="BF81" i="5"/>
  <c r="BF26" i="5"/>
  <c r="BF14" i="5"/>
  <c r="BF24" i="5"/>
  <c r="BF83" i="5"/>
  <c r="BF48" i="5"/>
  <c r="BF59" i="5"/>
  <c r="BF75" i="5"/>
  <c r="BF12" i="5"/>
  <c r="BF42" i="5"/>
  <c r="BF70" i="5"/>
  <c r="BF61" i="5"/>
  <c r="BF20" i="5"/>
  <c r="BF58" i="5"/>
  <c r="BF69" i="5"/>
  <c r="BF80" i="5"/>
  <c r="BF55" i="5"/>
  <c r="BF37" i="5"/>
  <c r="BF22" i="5"/>
  <c r="BF15" i="5"/>
  <c r="BF45" i="5"/>
  <c r="BF34" i="5"/>
  <c r="BH62" i="5"/>
  <c r="BI64" i="5"/>
  <c r="BF46" i="5"/>
  <c r="BF67" i="5"/>
  <c r="BF30" i="5"/>
  <c r="BF31" i="5"/>
  <c r="BF21" i="5"/>
  <c r="BF68" i="5"/>
  <c r="BF23" i="5"/>
  <c r="BF73" i="5"/>
  <c r="BF13" i="5"/>
  <c r="BH7" i="5"/>
  <c r="BI9" i="5"/>
  <c r="BF71" i="5"/>
  <c r="BF39" i="5"/>
  <c r="BF78" i="5"/>
  <c r="BF56" i="5"/>
  <c r="BF84" i="5"/>
  <c r="BG8" i="5"/>
  <c r="BG11" i="5"/>
  <c r="BG10" i="5"/>
  <c r="BG38" i="5" s="1"/>
  <c r="BF16" i="5"/>
  <c r="BF17" i="5"/>
  <c r="BF27" i="5"/>
  <c r="BF72" i="5"/>
  <c r="BF28" i="5"/>
  <c r="BG84" i="5" l="1"/>
  <c r="BG75" i="5"/>
  <c r="BG72" i="5"/>
  <c r="BG80" i="5"/>
  <c r="BG33" i="5"/>
  <c r="BG27" i="5"/>
  <c r="BG39" i="5"/>
  <c r="BG73" i="5"/>
  <c r="BG74" i="5"/>
  <c r="BG16" i="5"/>
  <c r="BG68" i="5"/>
  <c r="BG69" i="5"/>
  <c r="BG21" i="5"/>
  <c r="BG34" i="5"/>
  <c r="BG31" i="5"/>
  <c r="BG51" i="5"/>
  <c r="BG28" i="5"/>
  <c r="BG44" i="5"/>
  <c r="BH63" i="5"/>
  <c r="BH66" i="5"/>
  <c r="BH65" i="5"/>
  <c r="BH85" i="5" s="1"/>
  <c r="BG42" i="5"/>
  <c r="BG83" i="5"/>
  <c r="BG50" i="5"/>
  <c r="BG79" i="5"/>
  <c r="BG12" i="5"/>
  <c r="BG41" i="5"/>
  <c r="BG43" i="5"/>
  <c r="BG77" i="5"/>
  <c r="BG40" i="5"/>
  <c r="BG76" i="5"/>
  <c r="BH8" i="5"/>
  <c r="BH11" i="5"/>
  <c r="BH10" i="5"/>
  <c r="BH38" i="5" s="1"/>
  <c r="BG60" i="5"/>
  <c r="BG17" i="5"/>
  <c r="BG35" i="5"/>
  <c r="BG82" i="5"/>
  <c r="BG30" i="5"/>
  <c r="BG45" i="5"/>
  <c r="BG36" i="5"/>
  <c r="BG49" i="5"/>
  <c r="BG32" i="5"/>
  <c r="BG29" i="5"/>
  <c r="BG56" i="5"/>
  <c r="BG47" i="5"/>
  <c r="BG67" i="5"/>
  <c r="BG15" i="5"/>
  <c r="BG58" i="5"/>
  <c r="BG18" i="5"/>
  <c r="BG24" i="5"/>
  <c r="BG53" i="5"/>
  <c r="BI7" i="5"/>
  <c r="BJ9" i="5"/>
  <c r="BG78" i="5"/>
  <c r="BG13" i="5"/>
  <c r="BG46" i="5"/>
  <c r="BG22" i="5"/>
  <c r="BG20" i="5"/>
  <c r="BG52" i="5"/>
  <c r="BG14" i="5"/>
  <c r="BG57" i="5"/>
  <c r="BG25" i="5"/>
  <c r="BG54" i="5"/>
  <c r="BG61" i="5"/>
  <c r="BG59" i="5"/>
  <c r="BG26" i="5"/>
  <c r="BG19" i="5"/>
  <c r="BG37" i="5"/>
  <c r="BG71" i="5"/>
  <c r="BG23" i="5"/>
  <c r="BI62" i="5"/>
  <c r="BJ64" i="5"/>
  <c r="BG55" i="5"/>
  <c r="BG70" i="5"/>
  <c r="BG48" i="5"/>
  <c r="BG81" i="5"/>
  <c r="BG86" i="5"/>
  <c r="BH72" i="5" l="1"/>
  <c r="BH69" i="5"/>
  <c r="BH73" i="5"/>
  <c r="BH86" i="5"/>
  <c r="BH81" i="5"/>
  <c r="BH68" i="5"/>
  <c r="BH77" i="5"/>
  <c r="BH71" i="5"/>
  <c r="BH84" i="5"/>
  <c r="BH70" i="5"/>
  <c r="BH78" i="5"/>
  <c r="BH74" i="5"/>
  <c r="BH67" i="5"/>
  <c r="BH76" i="5"/>
  <c r="BH79" i="5"/>
  <c r="BH82" i="5"/>
  <c r="BH83" i="5"/>
  <c r="BH47" i="5"/>
  <c r="BH52" i="5"/>
  <c r="BH59" i="5"/>
  <c r="BH53" i="5"/>
  <c r="BH16" i="5"/>
  <c r="BH54" i="5"/>
  <c r="BH22" i="5"/>
  <c r="BH24" i="5"/>
  <c r="BH27" i="5"/>
  <c r="BH37" i="5"/>
  <c r="BH46" i="5"/>
  <c r="BH18" i="5"/>
  <c r="BH48" i="5"/>
  <c r="BH39" i="5"/>
  <c r="BH13" i="5"/>
  <c r="BH80" i="5"/>
  <c r="BH30" i="5"/>
  <c r="BH41" i="5"/>
  <c r="BH12" i="5"/>
  <c r="BH42" i="5"/>
  <c r="BI66" i="5"/>
  <c r="BI65" i="5"/>
  <c r="BI63" i="5"/>
  <c r="BH28" i="5"/>
  <c r="BH35" i="5"/>
  <c r="BH40" i="5"/>
  <c r="BH25" i="5"/>
  <c r="BH58" i="5"/>
  <c r="BH29" i="5"/>
  <c r="BH17" i="5"/>
  <c r="BH34" i="5"/>
  <c r="BH55" i="5"/>
  <c r="BH57" i="5"/>
  <c r="BH31" i="5"/>
  <c r="BH15" i="5"/>
  <c r="BH32" i="5"/>
  <c r="BH60" i="5"/>
  <c r="BH33" i="5"/>
  <c r="BH21" i="5"/>
  <c r="BH19" i="5"/>
  <c r="BK64" i="5"/>
  <c r="BJ62" i="5"/>
  <c r="BH26" i="5"/>
  <c r="BH14" i="5"/>
  <c r="BJ7" i="5"/>
  <c r="BK9" i="5"/>
  <c r="BH49" i="5"/>
  <c r="BH75" i="5"/>
  <c r="BH51" i="5"/>
  <c r="BH44" i="5"/>
  <c r="BI11" i="5"/>
  <c r="BI10" i="5"/>
  <c r="BI38" i="5" s="1"/>
  <c r="BI8" i="5"/>
  <c r="BH36" i="5"/>
  <c r="BH23" i="5"/>
  <c r="BH61" i="5"/>
  <c r="BH20" i="5"/>
  <c r="BH56" i="5"/>
  <c r="BH45" i="5"/>
  <c r="BH43" i="5"/>
  <c r="BH50" i="5"/>
  <c r="BI86" i="5" l="1"/>
  <c r="BI72" i="5"/>
  <c r="BI78" i="5"/>
  <c r="BI75" i="5"/>
  <c r="BI79" i="5"/>
  <c r="BI50" i="5"/>
  <c r="BI77" i="5"/>
  <c r="BI67" i="5"/>
  <c r="BI68" i="5"/>
  <c r="BI56" i="5"/>
  <c r="BI84" i="5"/>
  <c r="BI70" i="5"/>
  <c r="BI73" i="5"/>
  <c r="BI69" i="5"/>
  <c r="BI76" i="5"/>
  <c r="BI61" i="5"/>
  <c r="BI12" i="5"/>
  <c r="BI15" i="5"/>
  <c r="BI35" i="5"/>
  <c r="BI24" i="5"/>
  <c r="BI57" i="5"/>
  <c r="BI83" i="5"/>
  <c r="BI23" i="5"/>
  <c r="BI14" i="5"/>
  <c r="BI54" i="5"/>
  <c r="BI55" i="5"/>
  <c r="BI44" i="5"/>
  <c r="BI26" i="5"/>
  <c r="BI21" i="5"/>
  <c r="BI13" i="5"/>
  <c r="BI30" i="5"/>
  <c r="BI51" i="5"/>
  <c r="BI71" i="5"/>
  <c r="BI81" i="5"/>
  <c r="BI85" i="5"/>
  <c r="BI36" i="5"/>
  <c r="BI43" i="5"/>
  <c r="BI47" i="5"/>
  <c r="BI45" i="5"/>
  <c r="BI52" i="5"/>
  <c r="BI34" i="5"/>
  <c r="BI80" i="5"/>
  <c r="BI29" i="5"/>
  <c r="BI58" i="5"/>
  <c r="BI40" i="5"/>
  <c r="BI42" i="5"/>
  <c r="BI41" i="5"/>
  <c r="BL9" i="5"/>
  <c r="BK7" i="5"/>
  <c r="BI59" i="5"/>
  <c r="BL64" i="5"/>
  <c r="BK62" i="5"/>
  <c r="BI33" i="5"/>
  <c r="BI46" i="5"/>
  <c r="BI25" i="5"/>
  <c r="BI28" i="5"/>
  <c r="BI16" i="5"/>
  <c r="BI49" i="5"/>
  <c r="BI19" i="5"/>
  <c r="BI60" i="5"/>
  <c r="BI18" i="5"/>
  <c r="BI82" i="5"/>
  <c r="BI53" i="5"/>
  <c r="BJ66" i="5"/>
  <c r="BJ65" i="5"/>
  <c r="BJ63" i="5"/>
  <c r="BI20" i="5"/>
  <c r="BI32" i="5"/>
  <c r="BI74" i="5"/>
  <c r="BI48" i="5"/>
  <c r="BI37" i="5"/>
  <c r="BI27" i="5"/>
  <c r="BI22" i="5"/>
  <c r="BJ11" i="5"/>
  <c r="BJ10" i="5"/>
  <c r="BJ38" i="5" s="1"/>
  <c r="BJ8" i="5"/>
  <c r="BI39" i="5"/>
  <c r="BI31" i="5"/>
  <c r="BI17" i="5"/>
  <c r="BJ69" i="5" l="1"/>
  <c r="BJ52" i="5"/>
  <c r="BJ80" i="5"/>
  <c r="BJ81" i="5"/>
  <c r="BJ74" i="5"/>
  <c r="BJ68" i="5"/>
  <c r="BJ85" i="5"/>
  <c r="BJ13" i="5"/>
  <c r="BJ71" i="5"/>
  <c r="BJ60" i="5"/>
  <c r="BJ24" i="5"/>
  <c r="BJ32" i="5"/>
  <c r="BJ48" i="5"/>
  <c r="BJ21" i="5"/>
  <c r="BJ31" i="5"/>
  <c r="BJ84" i="5"/>
  <c r="BJ67" i="5"/>
  <c r="BJ82" i="5"/>
  <c r="BJ17" i="5"/>
  <c r="BJ39" i="5"/>
  <c r="BJ20" i="5"/>
  <c r="BJ43" i="5"/>
  <c r="BJ27" i="5"/>
  <c r="BJ12" i="5"/>
  <c r="BJ70" i="5"/>
  <c r="BJ46" i="5"/>
  <c r="BJ51" i="5"/>
  <c r="BJ55" i="5"/>
  <c r="BJ29" i="5"/>
  <c r="BJ33" i="5"/>
  <c r="BJ45" i="5"/>
  <c r="BJ54" i="5"/>
  <c r="BJ57" i="5"/>
  <c r="BK10" i="5"/>
  <c r="BK38" i="5" s="1"/>
  <c r="BK8" i="5"/>
  <c r="BK11" i="5"/>
  <c r="BJ26" i="5"/>
  <c r="BJ73" i="5"/>
  <c r="BK65" i="5"/>
  <c r="BK63" i="5"/>
  <c r="BK66" i="5"/>
  <c r="BJ34" i="5"/>
  <c r="BJ19" i="5"/>
  <c r="BJ61" i="5"/>
  <c r="BM64" i="5"/>
  <c r="BL62" i="5"/>
  <c r="BM9" i="5"/>
  <c r="BL7" i="5"/>
  <c r="BJ44" i="5"/>
  <c r="BJ14" i="5"/>
  <c r="BJ49" i="5"/>
  <c r="BJ16" i="5"/>
  <c r="BJ75" i="5"/>
  <c r="BJ41" i="5"/>
  <c r="BJ47" i="5"/>
  <c r="BJ36" i="5"/>
  <c r="BJ22" i="5"/>
  <c r="BJ77" i="5"/>
  <c r="BJ53" i="5"/>
  <c r="BJ79" i="5"/>
  <c r="BJ76" i="5"/>
  <c r="BJ59" i="5"/>
  <c r="BJ42" i="5"/>
  <c r="BJ15" i="5"/>
  <c r="BJ50" i="5"/>
  <c r="BJ30" i="5"/>
  <c r="BJ40" i="5"/>
  <c r="BJ83" i="5"/>
  <c r="BJ86" i="5"/>
  <c r="BJ28" i="5"/>
  <c r="BJ56" i="5"/>
  <c r="BJ23" i="5"/>
  <c r="BJ37" i="5"/>
  <c r="BJ72" i="5"/>
  <c r="BJ18" i="5"/>
  <c r="BJ78" i="5"/>
  <c r="BJ25" i="5"/>
  <c r="BJ35" i="5"/>
  <c r="BJ58" i="5"/>
  <c r="BK69" i="5" l="1"/>
  <c r="BK34" i="5"/>
  <c r="BK37" i="5"/>
  <c r="BK42" i="5"/>
  <c r="BK58" i="5"/>
  <c r="BK35" i="5"/>
  <c r="BK28" i="5"/>
  <c r="BK43" i="5"/>
  <c r="BK56" i="5"/>
  <c r="BK67" i="5"/>
  <c r="BK80" i="5"/>
  <c r="BK76" i="5"/>
  <c r="BK78" i="5"/>
  <c r="BK83" i="5"/>
  <c r="BK79" i="5"/>
  <c r="BK72" i="5"/>
  <c r="BK39" i="5"/>
  <c r="BK32" i="5"/>
  <c r="BK86" i="5"/>
  <c r="BK75" i="5"/>
  <c r="BK82" i="5"/>
  <c r="BK81" i="5"/>
  <c r="BK44" i="5"/>
  <c r="BK84" i="5"/>
  <c r="BK41" i="5"/>
  <c r="BK23" i="5"/>
  <c r="BK77" i="5"/>
  <c r="BK27" i="5"/>
  <c r="BK50" i="5"/>
  <c r="BK22" i="5"/>
  <c r="BK16" i="5"/>
  <c r="BK21" i="5"/>
  <c r="BK31" i="5"/>
  <c r="BK18" i="5"/>
  <c r="BK15" i="5"/>
  <c r="BK49" i="5"/>
  <c r="BK55" i="5"/>
  <c r="BK54" i="5"/>
  <c r="BK46" i="5"/>
  <c r="BK59" i="5"/>
  <c r="BK40" i="5"/>
  <c r="BK17" i="5"/>
  <c r="BK60" i="5"/>
  <c r="BK61" i="5"/>
  <c r="BK73" i="5"/>
  <c r="BK33" i="5"/>
  <c r="BK70" i="5"/>
  <c r="BK30" i="5"/>
  <c r="BK36" i="5"/>
  <c r="BK24" i="5"/>
  <c r="BK19" i="5"/>
  <c r="BK26" i="5"/>
  <c r="BK52" i="5"/>
  <c r="BK25" i="5"/>
  <c r="BK20" i="5"/>
  <c r="BK53" i="5"/>
  <c r="BK47" i="5"/>
  <c r="BK14" i="5"/>
  <c r="BK68" i="5"/>
  <c r="BK71" i="5"/>
  <c r="BK13" i="5"/>
  <c r="BK12" i="5"/>
  <c r="BL10" i="5"/>
  <c r="BL38" i="5" s="1"/>
  <c r="BL8" i="5"/>
  <c r="BL11" i="5"/>
  <c r="BK74" i="5"/>
  <c r="BK48" i="5"/>
  <c r="BN9" i="5"/>
  <c r="BM7" i="5"/>
  <c r="BK57" i="5"/>
  <c r="BK29" i="5"/>
  <c r="BK85" i="5"/>
  <c r="BL65" i="5"/>
  <c r="BL63" i="5"/>
  <c r="BL66" i="5"/>
  <c r="BN64" i="5"/>
  <c r="BM62" i="5"/>
  <c r="BK45" i="5"/>
  <c r="BK51" i="5"/>
  <c r="BL19" i="5" l="1"/>
  <c r="BL24" i="5"/>
  <c r="BL15" i="5"/>
  <c r="BL73" i="5"/>
  <c r="BL83" i="5"/>
  <c r="BL50" i="5"/>
  <c r="BL12" i="5"/>
  <c r="BL47" i="5"/>
  <c r="BL28" i="5"/>
  <c r="BL51" i="5"/>
  <c r="BL49" i="5"/>
  <c r="BL48" i="5"/>
  <c r="BL13" i="5"/>
  <c r="BL53" i="5"/>
  <c r="BL37" i="5"/>
  <c r="BL43" i="5"/>
  <c r="BL55" i="5"/>
  <c r="BL57" i="5"/>
  <c r="BL39" i="5"/>
  <c r="BL16" i="5"/>
  <c r="BL17" i="5"/>
  <c r="BL23" i="5"/>
  <c r="BL54" i="5"/>
  <c r="BL59" i="5"/>
  <c r="BL60" i="5"/>
  <c r="BL14" i="5"/>
  <c r="BL45" i="5"/>
  <c r="BL25" i="5"/>
  <c r="BL81" i="5"/>
  <c r="BL61" i="5"/>
  <c r="BL31" i="5"/>
  <c r="BL36" i="5"/>
  <c r="BL27" i="5"/>
  <c r="BL30" i="5"/>
  <c r="BL20" i="5"/>
  <c r="BL42" i="5"/>
  <c r="BL85" i="5"/>
  <c r="BL32" i="5"/>
  <c r="BL67" i="5"/>
  <c r="BL86" i="5"/>
  <c r="BL29" i="5"/>
  <c r="BL35" i="5"/>
  <c r="BL18" i="5"/>
  <c r="BL84" i="5"/>
  <c r="BL74" i="5"/>
  <c r="BL77" i="5"/>
  <c r="BL71" i="5"/>
  <c r="BL68" i="5"/>
  <c r="BL80" i="5"/>
  <c r="BL72" i="5"/>
  <c r="BL78" i="5"/>
  <c r="BL79" i="5"/>
  <c r="BL76" i="5"/>
  <c r="BL40" i="5"/>
  <c r="BM8" i="5"/>
  <c r="BM11" i="5"/>
  <c r="BM10" i="5"/>
  <c r="BL34" i="5"/>
  <c r="BL82" i="5"/>
  <c r="BL21" i="5"/>
  <c r="BL46" i="5"/>
  <c r="BL58" i="5"/>
  <c r="BM63" i="5"/>
  <c r="BM66" i="5"/>
  <c r="BM65" i="5"/>
  <c r="BN62" i="5"/>
  <c r="BO64" i="5"/>
  <c r="BN7" i="5"/>
  <c r="BO9" i="5"/>
  <c r="BL75" i="5"/>
  <c r="BL44" i="5"/>
  <c r="BL56" i="5"/>
  <c r="BL52" i="5"/>
  <c r="BL33" i="5"/>
  <c r="BL69" i="5"/>
  <c r="BL22" i="5"/>
  <c r="BL41" i="5"/>
  <c r="BL70" i="5"/>
  <c r="BL26" i="5"/>
  <c r="BM51" i="5" l="1"/>
  <c r="BM81" i="5"/>
  <c r="BM34" i="5"/>
  <c r="BM35" i="5"/>
  <c r="BM57" i="5"/>
  <c r="BM16" i="5"/>
  <c r="BM56" i="5"/>
  <c r="BM44" i="5"/>
  <c r="BM22" i="5"/>
  <c r="BM53" i="5"/>
  <c r="BM30" i="5"/>
  <c r="BM45" i="5"/>
  <c r="BM58" i="5"/>
  <c r="BM49" i="5"/>
  <c r="BM26" i="5"/>
  <c r="BM54" i="5"/>
  <c r="BM41" i="5"/>
  <c r="BM33" i="5"/>
  <c r="BM82" i="5"/>
  <c r="BM75" i="5"/>
  <c r="BM32" i="5"/>
  <c r="BM70" i="5"/>
  <c r="BM69" i="5"/>
  <c r="BM23" i="5"/>
  <c r="BM46" i="5"/>
  <c r="BM40" i="5"/>
  <c r="BM48" i="5"/>
  <c r="BM52" i="5"/>
  <c r="BM83" i="5"/>
  <c r="BM21" i="5"/>
  <c r="BO7" i="5"/>
  <c r="BP9" i="5"/>
  <c r="BM20" i="5"/>
  <c r="BM78" i="5"/>
  <c r="BM85" i="5"/>
  <c r="BM18" i="5"/>
  <c r="BM15" i="5"/>
  <c r="BM74" i="5"/>
  <c r="BN8" i="5"/>
  <c r="BN11" i="5"/>
  <c r="BN10" i="5"/>
  <c r="BM13" i="5"/>
  <c r="BM50" i="5"/>
  <c r="BM12" i="5"/>
  <c r="BM17" i="5"/>
  <c r="BM86" i="5"/>
  <c r="BM37" i="5"/>
  <c r="BM84" i="5"/>
  <c r="BM36" i="5"/>
  <c r="BM67" i="5"/>
  <c r="BM72" i="5"/>
  <c r="BM14" i="5"/>
  <c r="BM42" i="5"/>
  <c r="BM61" i="5"/>
  <c r="BM43" i="5"/>
  <c r="BM59" i="5"/>
  <c r="BM29" i="5"/>
  <c r="BM27" i="5"/>
  <c r="BM60" i="5"/>
  <c r="BM19" i="5"/>
  <c r="BP64" i="5"/>
  <c r="BO62" i="5"/>
  <c r="BM76" i="5"/>
  <c r="BM28" i="5"/>
  <c r="BM24" i="5"/>
  <c r="BM71" i="5"/>
  <c r="BM38" i="5"/>
  <c r="BN63" i="5"/>
  <c r="BN66" i="5"/>
  <c r="BN65" i="5"/>
  <c r="BM79" i="5"/>
  <c r="BM55" i="5"/>
  <c r="BM68" i="5"/>
  <c r="BM77" i="5"/>
  <c r="BM73" i="5"/>
  <c r="BM25" i="5"/>
  <c r="BM47" i="5"/>
  <c r="BM80" i="5"/>
  <c r="BM31" i="5"/>
  <c r="BM39" i="5"/>
  <c r="BN75" i="5" l="1"/>
  <c r="BN47" i="5"/>
  <c r="BN25" i="5"/>
  <c r="BN32" i="5"/>
  <c r="BN41" i="5"/>
  <c r="BN40" i="5"/>
  <c r="BN35" i="5"/>
  <c r="BN23" i="5"/>
  <c r="BN21" i="5"/>
  <c r="BN73" i="5"/>
  <c r="BN58" i="5"/>
  <c r="BN77" i="5"/>
  <c r="BN42" i="5"/>
  <c r="BN14" i="5"/>
  <c r="BN38" i="5"/>
  <c r="BN31" i="5"/>
  <c r="BN55" i="5"/>
  <c r="BN39" i="5"/>
  <c r="BN29" i="5"/>
  <c r="BN59" i="5"/>
  <c r="BN57" i="5"/>
  <c r="BN13" i="5"/>
  <c r="BN44" i="5"/>
  <c r="BN46" i="5"/>
  <c r="BN37" i="5"/>
  <c r="BN45" i="5"/>
  <c r="BN54" i="5"/>
  <c r="BN16" i="5"/>
  <c r="BN49" i="5"/>
  <c r="BN22" i="5"/>
  <c r="BN30" i="5"/>
  <c r="BN24" i="5"/>
  <c r="BN19" i="5"/>
  <c r="BN26" i="5"/>
  <c r="BN56" i="5"/>
  <c r="BN17" i="5"/>
  <c r="BN51" i="5"/>
  <c r="BN34" i="5"/>
  <c r="BN28" i="5"/>
  <c r="BN60" i="5"/>
  <c r="BN43" i="5"/>
  <c r="BN12" i="5"/>
  <c r="BN18" i="5"/>
  <c r="BN52" i="5"/>
  <c r="BN27" i="5"/>
  <c r="BN61" i="5"/>
  <c r="BN36" i="5"/>
  <c r="BN50" i="5"/>
  <c r="BN80" i="5"/>
  <c r="BN68" i="5"/>
  <c r="BN83" i="5"/>
  <c r="BN84" i="5"/>
  <c r="BN15" i="5"/>
  <c r="BN78" i="5"/>
  <c r="BP7" i="5"/>
  <c r="BQ9" i="5"/>
  <c r="BN72" i="5"/>
  <c r="BO8" i="5"/>
  <c r="BO11" i="5"/>
  <c r="BO10" i="5"/>
  <c r="BN70" i="5"/>
  <c r="BN33" i="5"/>
  <c r="BN69" i="5"/>
  <c r="BN71" i="5"/>
  <c r="BN82" i="5"/>
  <c r="BN85" i="5"/>
  <c r="BN20" i="5"/>
  <c r="BO63" i="5"/>
  <c r="BO66" i="5"/>
  <c r="BO65" i="5"/>
  <c r="BN67" i="5"/>
  <c r="BN48" i="5"/>
  <c r="BN81" i="5"/>
  <c r="BN76" i="5"/>
  <c r="BP62" i="5"/>
  <c r="BQ64" i="5"/>
  <c r="BN86" i="5"/>
  <c r="BN53" i="5"/>
  <c r="BN74" i="5"/>
  <c r="BN79" i="5"/>
  <c r="BO77" i="5" l="1"/>
  <c r="BO48" i="5"/>
  <c r="BO67" i="5"/>
  <c r="BO50" i="5"/>
  <c r="BO40" i="5"/>
  <c r="BO76" i="5"/>
  <c r="BO27" i="5"/>
  <c r="BO26" i="5"/>
  <c r="BO47" i="5"/>
  <c r="BO22" i="5"/>
  <c r="BO12" i="5"/>
  <c r="BO57" i="5"/>
  <c r="BO49" i="5"/>
  <c r="BO36" i="5"/>
  <c r="BO13" i="5"/>
  <c r="BO14" i="5"/>
  <c r="BO58" i="5"/>
  <c r="BO38" i="5"/>
  <c r="BO53" i="5"/>
  <c r="BO54" i="5"/>
  <c r="BO34" i="5"/>
  <c r="BO21" i="5"/>
  <c r="BO24" i="5"/>
  <c r="BO19" i="5"/>
  <c r="BO35" i="5"/>
  <c r="BO56" i="5"/>
  <c r="BO60" i="5"/>
  <c r="BO28" i="5"/>
  <c r="BO41" i="5"/>
  <c r="BO55" i="5"/>
  <c r="BO16" i="5"/>
  <c r="BO30" i="5"/>
  <c r="BO32" i="5"/>
  <c r="BO20" i="5"/>
  <c r="BO29" i="5"/>
  <c r="BO43" i="5"/>
  <c r="BO42" i="5"/>
  <c r="BO33" i="5"/>
  <c r="BO39" i="5"/>
  <c r="BO37" i="5"/>
  <c r="BO44" i="5"/>
  <c r="BO61" i="5"/>
  <c r="BO79" i="5"/>
  <c r="BO70" i="5"/>
  <c r="BO23" i="5"/>
  <c r="BO52" i="5"/>
  <c r="BO46" i="5"/>
  <c r="BO68" i="5"/>
  <c r="BO81" i="5"/>
  <c r="BO85" i="5"/>
  <c r="BO72" i="5"/>
  <c r="BQ7" i="5"/>
  <c r="BR9" i="5"/>
  <c r="BO51" i="5"/>
  <c r="BO73" i="5"/>
  <c r="BP8" i="5"/>
  <c r="BP11" i="5"/>
  <c r="BP10" i="5"/>
  <c r="BO83" i="5"/>
  <c r="BO80" i="5"/>
  <c r="BO86" i="5"/>
  <c r="BO82" i="5"/>
  <c r="BO78" i="5"/>
  <c r="BO25" i="5"/>
  <c r="BQ62" i="5"/>
  <c r="BR64" i="5"/>
  <c r="BO71" i="5"/>
  <c r="BO18" i="5"/>
  <c r="BO59" i="5"/>
  <c r="BO15" i="5"/>
  <c r="BO45" i="5"/>
  <c r="BO31" i="5"/>
  <c r="BO74" i="5"/>
  <c r="BP63" i="5"/>
  <c r="BP66" i="5"/>
  <c r="BP65" i="5"/>
  <c r="BO69" i="5"/>
  <c r="BO17" i="5"/>
  <c r="BO75" i="5"/>
  <c r="BO84" i="5"/>
  <c r="BP77" i="5" l="1"/>
  <c r="BP40" i="5"/>
  <c r="BP28" i="5"/>
  <c r="BP29" i="5"/>
  <c r="BP13" i="5"/>
  <c r="BP41" i="5"/>
  <c r="BP34" i="5"/>
  <c r="BP55" i="5"/>
  <c r="BP84" i="5"/>
  <c r="BP71" i="5"/>
  <c r="BP27" i="5"/>
  <c r="BP31" i="5"/>
  <c r="BP69" i="5"/>
  <c r="BP32" i="5"/>
  <c r="BP18" i="5"/>
  <c r="BP12" i="5"/>
  <c r="BP52" i="5"/>
  <c r="BP57" i="5"/>
  <c r="BP50" i="5"/>
  <c r="BP37" i="5"/>
  <c r="BP23" i="5"/>
  <c r="BP47" i="5"/>
  <c r="BP30" i="5"/>
  <c r="BP75" i="5"/>
  <c r="BP17" i="5"/>
  <c r="BP38" i="5"/>
  <c r="BP45" i="5"/>
  <c r="BP60" i="5"/>
  <c r="BP24" i="5"/>
  <c r="BP44" i="5"/>
  <c r="BP59" i="5"/>
  <c r="BP48" i="5"/>
  <c r="BP61" i="5"/>
  <c r="BP76" i="5"/>
  <c r="BP14" i="5"/>
  <c r="BP42" i="5"/>
  <c r="BP33" i="5"/>
  <c r="BP43" i="5"/>
  <c r="BP16" i="5"/>
  <c r="BP20" i="5"/>
  <c r="BP21" i="5"/>
  <c r="BP22" i="5"/>
  <c r="BP15" i="5"/>
  <c r="BP25" i="5"/>
  <c r="BP83" i="5"/>
  <c r="BP35" i="5"/>
  <c r="BP46" i="5"/>
  <c r="BP74" i="5"/>
  <c r="BS64" i="5"/>
  <c r="BR62" i="5"/>
  <c r="BP82" i="5"/>
  <c r="BP56" i="5"/>
  <c r="BQ66" i="5"/>
  <c r="BQ65" i="5"/>
  <c r="BQ63" i="5"/>
  <c r="BP73" i="5"/>
  <c r="BP85" i="5"/>
  <c r="BP54" i="5"/>
  <c r="BP67" i="5"/>
  <c r="BP26" i="5"/>
  <c r="BP39" i="5"/>
  <c r="BP86" i="5"/>
  <c r="BP51" i="5"/>
  <c r="BP81" i="5"/>
  <c r="BP70" i="5"/>
  <c r="BP58" i="5"/>
  <c r="BP19" i="5"/>
  <c r="BP78" i="5"/>
  <c r="BR7" i="5"/>
  <c r="BS9" i="5"/>
  <c r="BP79" i="5"/>
  <c r="BP80" i="5"/>
  <c r="BQ11" i="5"/>
  <c r="BQ10" i="5"/>
  <c r="BQ40" i="5" s="1"/>
  <c r="BQ8" i="5"/>
  <c r="BP68" i="5"/>
  <c r="BP49" i="5"/>
  <c r="BP36" i="5"/>
  <c r="BP72" i="5"/>
  <c r="BP53" i="5"/>
  <c r="BQ77" i="5" l="1"/>
  <c r="BQ49" i="5"/>
  <c r="BQ83" i="5"/>
  <c r="BQ78" i="5"/>
  <c r="BQ68" i="5"/>
  <c r="BQ53" i="5"/>
  <c r="BQ69" i="5"/>
  <c r="BQ67" i="5"/>
  <c r="BQ84" i="5"/>
  <c r="BQ72" i="5"/>
  <c r="BQ70" i="5"/>
  <c r="BQ79" i="5"/>
  <c r="BQ81" i="5"/>
  <c r="BQ76" i="5"/>
  <c r="BQ80" i="5"/>
  <c r="BQ71" i="5"/>
  <c r="BQ36" i="5"/>
  <c r="BQ25" i="5"/>
  <c r="BQ21" i="5"/>
  <c r="BQ12" i="5"/>
  <c r="BQ57" i="5"/>
  <c r="BR66" i="5"/>
  <c r="BR65" i="5"/>
  <c r="BR63" i="5"/>
  <c r="BQ33" i="5"/>
  <c r="BQ32" i="5"/>
  <c r="BQ50" i="5"/>
  <c r="BQ18" i="5"/>
  <c r="BQ17" i="5"/>
  <c r="BT64" i="5"/>
  <c r="BS62" i="5"/>
  <c r="BQ19" i="5"/>
  <c r="BQ41" i="5"/>
  <c r="BQ27" i="5"/>
  <c r="BQ55" i="5"/>
  <c r="BQ15" i="5"/>
  <c r="BT9" i="5"/>
  <c r="BS7" i="5"/>
  <c r="BQ58" i="5"/>
  <c r="BQ39" i="5"/>
  <c r="BQ56" i="5"/>
  <c r="BQ74" i="5"/>
  <c r="BQ14" i="5"/>
  <c r="BR11" i="5"/>
  <c r="BR10" i="5"/>
  <c r="BR8" i="5"/>
  <c r="BQ26" i="5"/>
  <c r="BQ23" i="5"/>
  <c r="BQ75" i="5"/>
  <c r="BQ37" i="5"/>
  <c r="BQ45" i="5"/>
  <c r="BQ44" i="5"/>
  <c r="BQ43" i="5"/>
  <c r="BQ42" i="5"/>
  <c r="BQ54" i="5"/>
  <c r="BQ30" i="5"/>
  <c r="BQ60" i="5"/>
  <c r="BQ46" i="5"/>
  <c r="BQ28" i="5"/>
  <c r="BQ51" i="5"/>
  <c r="BQ16" i="5"/>
  <c r="BQ85" i="5"/>
  <c r="BQ59" i="5"/>
  <c r="BQ61" i="5"/>
  <c r="BQ35" i="5"/>
  <c r="BQ52" i="5"/>
  <c r="BQ20" i="5"/>
  <c r="BQ22" i="5"/>
  <c r="BQ24" i="5"/>
  <c r="BQ34" i="5"/>
  <c r="BQ13" i="5"/>
  <c r="BQ31" i="5"/>
  <c r="BQ38" i="5"/>
  <c r="BQ47" i="5"/>
  <c r="BQ86" i="5"/>
  <c r="BQ48" i="5"/>
  <c r="BQ73" i="5"/>
  <c r="BQ29" i="5"/>
  <c r="BQ82" i="5"/>
  <c r="BR38" i="5" l="1"/>
  <c r="BR77" i="5"/>
  <c r="BR49" i="5"/>
  <c r="BR43" i="5"/>
  <c r="BR69" i="5"/>
  <c r="BR51" i="5"/>
  <c r="BR20" i="5"/>
  <c r="BR52" i="5"/>
  <c r="BR78" i="5"/>
  <c r="BR84" i="5"/>
  <c r="BR70" i="5"/>
  <c r="BR67" i="5"/>
  <c r="BR31" i="5"/>
  <c r="BR35" i="5"/>
  <c r="BR82" i="5"/>
  <c r="BR13" i="5"/>
  <c r="BR83" i="5"/>
  <c r="BR71" i="5"/>
  <c r="BR73" i="5"/>
  <c r="BR72" i="5"/>
  <c r="BR86" i="5"/>
  <c r="BR37" i="5"/>
  <c r="BR29" i="5"/>
  <c r="BR34" i="5"/>
  <c r="BR59" i="5"/>
  <c r="BR30" i="5"/>
  <c r="BR75" i="5"/>
  <c r="BR81" i="5"/>
  <c r="BR48" i="5"/>
  <c r="BR24" i="5"/>
  <c r="BR85" i="5"/>
  <c r="BR74" i="5"/>
  <c r="BR68" i="5"/>
  <c r="BR23" i="5"/>
  <c r="BR28" i="5"/>
  <c r="BR44" i="5"/>
  <c r="BR26" i="5"/>
  <c r="BR27" i="5"/>
  <c r="BR53" i="5"/>
  <c r="BR46" i="5"/>
  <c r="BR39" i="5"/>
  <c r="BR41" i="5"/>
  <c r="BR33" i="5"/>
  <c r="BR61" i="5"/>
  <c r="BR60" i="5"/>
  <c r="BR45" i="5"/>
  <c r="BR58" i="5"/>
  <c r="BR40" i="5"/>
  <c r="BR54" i="5"/>
  <c r="BR47" i="5"/>
  <c r="BR22" i="5"/>
  <c r="BR16" i="5"/>
  <c r="BR42" i="5"/>
  <c r="BR17" i="5"/>
  <c r="BR57" i="5"/>
  <c r="BR55" i="5"/>
  <c r="BR50" i="5"/>
  <c r="BR21" i="5"/>
  <c r="BR32" i="5"/>
  <c r="BR25" i="5"/>
  <c r="BS10" i="5"/>
  <c r="BS8" i="5"/>
  <c r="BS11" i="5"/>
  <c r="BR19" i="5"/>
  <c r="BR79" i="5"/>
  <c r="BU9" i="5"/>
  <c r="BT7" i="5"/>
  <c r="BS65" i="5"/>
  <c r="BS63" i="5"/>
  <c r="BS66" i="5"/>
  <c r="BR36" i="5"/>
  <c r="BR14" i="5"/>
  <c r="BR80" i="5"/>
  <c r="BU64" i="5"/>
  <c r="BT62" i="5"/>
  <c r="BR76" i="5"/>
  <c r="BR56" i="5"/>
  <c r="BR15" i="5"/>
  <c r="BR18" i="5"/>
  <c r="BR12" i="5"/>
  <c r="BS77" i="5" l="1"/>
  <c r="BS27" i="5"/>
  <c r="BS86" i="5"/>
  <c r="BS14" i="5"/>
  <c r="BS69" i="5"/>
  <c r="BS45" i="5"/>
  <c r="BS57" i="5"/>
  <c r="BS58" i="5"/>
  <c r="BS73" i="5"/>
  <c r="BS40" i="5"/>
  <c r="BS84" i="5"/>
  <c r="BS76" i="5"/>
  <c r="BS17" i="5"/>
  <c r="BS74" i="5"/>
  <c r="BS46" i="5"/>
  <c r="BS36" i="5"/>
  <c r="BS60" i="5"/>
  <c r="BS48" i="5"/>
  <c r="BS56" i="5"/>
  <c r="BS68" i="5"/>
  <c r="BS71" i="5"/>
  <c r="BS54" i="5"/>
  <c r="BS85" i="5"/>
  <c r="BS72" i="5"/>
  <c r="BS39" i="5"/>
  <c r="BS55" i="5"/>
  <c r="BS33" i="5"/>
  <c r="BS29" i="5"/>
  <c r="BS37" i="5"/>
  <c r="BS61" i="5"/>
  <c r="BS41" i="5"/>
  <c r="BS26" i="5"/>
  <c r="BS32" i="5"/>
  <c r="BS34" i="5"/>
  <c r="BS43" i="5"/>
  <c r="BS44" i="5"/>
  <c r="BS47" i="5"/>
  <c r="BS28" i="5"/>
  <c r="BS23" i="5"/>
  <c r="BS12" i="5"/>
  <c r="BS18" i="5"/>
  <c r="BS78" i="5"/>
  <c r="BS21" i="5"/>
  <c r="BS15" i="5"/>
  <c r="BS49" i="5"/>
  <c r="BS80" i="5"/>
  <c r="BS38" i="5"/>
  <c r="BS70" i="5"/>
  <c r="BS19" i="5"/>
  <c r="BS59" i="5"/>
  <c r="BT10" i="5"/>
  <c r="BT8" i="5"/>
  <c r="BT11" i="5"/>
  <c r="BS81" i="5"/>
  <c r="BS75" i="5"/>
  <c r="BT65" i="5"/>
  <c r="BT63" i="5"/>
  <c r="BT66" i="5"/>
  <c r="BV9" i="5"/>
  <c r="BU7" i="5"/>
  <c r="BS83" i="5"/>
  <c r="BS79" i="5"/>
  <c r="BS35" i="5"/>
  <c r="BS67" i="5"/>
  <c r="BS51" i="5"/>
  <c r="BS42" i="5"/>
  <c r="BS13" i="5"/>
  <c r="BS31" i="5"/>
  <c r="BS20" i="5"/>
  <c r="BS16" i="5"/>
  <c r="BS53" i="5"/>
  <c r="BS82" i="5"/>
  <c r="BS25" i="5"/>
  <c r="BS24" i="5"/>
  <c r="BS22" i="5"/>
  <c r="BS30" i="5"/>
  <c r="BV64" i="5"/>
  <c r="BU62" i="5"/>
  <c r="BS52" i="5"/>
  <c r="BS50" i="5"/>
  <c r="BT77" i="5" l="1"/>
  <c r="BT23" i="5"/>
  <c r="BT82" i="5"/>
  <c r="BT67" i="5"/>
  <c r="BT73" i="5"/>
  <c r="BT78" i="5"/>
  <c r="BT39" i="5"/>
  <c r="BT21" i="5"/>
  <c r="BT59" i="5"/>
  <c r="BT40" i="5"/>
  <c r="BT30" i="5"/>
  <c r="BT19" i="5"/>
  <c r="BT29" i="5"/>
  <c r="BT35" i="5"/>
  <c r="BT36" i="5"/>
  <c r="BT76" i="5"/>
  <c r="BT49" i="5"/>
  <c r="BT45" i="5"/>
  <c r="BT83" i="5"/>
  <c r="BT47" i="5"/>
  <c r="BT41" i="5"/>
  <c r="BT56" i="5"/>
  <c r="BT79" i="5"/>
  <c r="BT32" i="5"/>
  <c r="BT17" i="5"/>
  <c r="BT71" i="5"/>
  <c r="BT22" i="5"/>
  <c r="BT16" i="5"/>
  <c r="BT86" i="5"/>
  <c r="BT46" i="5"/>
  <c r="BT34" i="5"/>
  <c r="BT68" i="5"/>
  <c r="BT72" i="5"/>
  <c r="BT18" i="5"/>
  <c r="BT37" i="5"/>
  <c r="BT24" i="5"/>
  <c r="BT25" i="5"/>
  <c r="BT28" i="5"/>
  <c r="BT44" i="5"/>
  <c r="BT58" i="5"/>
  <c r="BT53" i="5"/>
  <c r="BT20" i="5"/>
  <c r="BT15" i="5"/>
  <c r="BT48" i="5"/>
  <c r="BT57" i="5"/>
  <c r="BT70" i="5"/>
  <c r="BT26" i="5"/>
  <c r="BT60" i="5"/>
  <c r="BT14" i="5"/>
  <c r="BT61" i="5"/>
  <c r="BT50" i="5"/>
  <c r="BT85" i="5"/>
  <c r="BT74" i="5"/>
  <c r="BT13" i="5"/>
  <c r="BT42" i="5"/>
  <c r="BT31" i="5"/>
  <c r="BT52" i="5"/>
  <c r="BT12" i="5"/>
  <c r="BT54" i="5"/>
  <c r="BT51" i="5"/>
  <c r="BT69" i="5"/>
  <c r="BT75" i="5"/>
  <c r="BT84" i="5"/>
  <c r="BT81" i="5"/>
  <c r="BT33" i="5"/>
  <c r="BT43" i="5"/>
  <c r="BU63" i="5"/>
  <c r="BU66" i="5"/>
  <c r="BU65" i="5"/>
  <c r="BU8" i="5"/>
  <c r="BU11" i="5"/>
  <c r="BU10" i="5"/>
  <c r="BV7" i="5"/>
  <c r="BW9" i="5"/>
  <c r="BV62" i="5"/>
  <c r="BW64" i="5"/>
  <c r="BT38" i="5"/>
  <c r="BT55" i="5"/>
  <c r="BT27" i="5"/>
  <c r="BT80" i="5"/>
  <c r="BU77" i="5" l="1"/>
  <c r="BU40" i="5"/>
  <c r="BU60" i="5"/>
  <c r="BU15" i="5"/>
  <c r="BU43" i="5"/>
  <c r="BU37" i="5"/>
  <c r="BU73" i="5"/>
  <c r="BU49" i="5"/>
  <c r="BU72" i="5"/>
  <c r="BU71" i="5"/>
  <c r="BU85" i="5"/>
  <c r="BU80" i="5"/>
  <c r="BU78" i="5"/>
  <c r="BU68" i="5"/>
  <c r="BU70" i="5"/>
  <c r="BU47" i="5"/>
  <c r="BU86" i="5"/>
  <c r="BU79" i="5"/>
  <c r="BU36" i="5"/>
  <c r="BU20" i="5"/>
  <c r="BU32" i="5"/>
  <c r="BU21" i="5"/>
  <c r="BU67" i="5"/>
  <c r="BU14" i="5"/>
  <c r="BU83" i="5"/>
  <c r="BU74" i="5"/>
  <c r="BU48" i="5"/>
  <c r="BU57" i="5"/>
  <c r="BU12" i="5"/>
  <c r="BU29" i="5"/>
  <c r="BU35" i="5"/>
  <c r="BU33" i="5"/>
  <c r="BU56" i="5"/>
  <c r="BU42" i="5"/>
  <c r="BX64" i="5"/>
  <c r="BW62" i="5"/>
  <c r="BU51" i="5"/>
  <c r="BU13" i="5"/>
  <c r="BU19" i="5"/>
  <c r="BU31" i="5"/>
  <c r="BU46" i="5"/>
  <c r="BU53" i="5"/>
  <c r="BU17" i="5"/>
  <c r="BU50" i="5"/>
  <c r="BU24" i="5"/>
  <c r="BU54" i="5"/>
  <c r="BU44" i="5"/>
  <c r="BU30" i="5"/>
  <c r="BU59" i="5"/>
  <c r="BU16" i="5"/>
  <c r="BU61" i="5"/>
  <c r="BU27" i="5"/>
  <c r="BU76" i="5"/>
  <c r="BU82" i="5"/>
  <c r="BU45" i="5"/>
  <c r="BU28" i="5"/>
  <c r="BU22" i="5"/>
  <c r="BU26" i="5"/>
  <c r="BU69" i="5"/>
  <c r="BU55" i="5"/>
  <c r="BU34" i="5"/>
  <c r="BU18" i="5"/>
  <c r="BW7" i="5"/>
  <c r="BX9" i="5"/>
  <c r="BU41" i="5"/>
  <c r="BU23" i="5"/>
  <c r="BU75" i="5"/>
  <c r="BU39" i="5"/>
  <c r="BV63" i="5"/>
  <c r="BV66" i="5"/>
  <c r="BV65" i="5"/>
  <c r="BU58" i="5"/>
  <c r="BU38" i="5"/>
  <c r="BU52" i="5"/>
  <c r="BU25" i="5"/>
  <c r="BV8" i="5"/>
  <c r="BV11" i="5"/>
  <c r="BV10" i="5"/>
  <c r="BU84" i="5"/>
  <c r="BU81" i="5"/>
  <c r="BV77" i="5" l="1"/>
  <c r="BV40" i="5"/>
  <c r="BV81" i="5"/>
  <c r="BV84" i="5"/>
  <c r="BV38" i="5"/>
  <c r="BV41" i="5"/>
  <c r="BV55" i="5"/>
  <c r="BV73" i="5"/>
  <c r="BV86" i="5"/>
  <c r="BV75" i="5"/>
  <c r="BV27" i="5"/>
  <c r="BV67" i="5"/>
  <c r="BV24" i="5"/>
  <c r="BV47" i="5"/>
  <c r="BW63" i="5"/>
  <c r="BW66" i="5"/>
  <c r="BW65" i="5"/>
  <c r="BW77" i="5" s="1"/>
  <c r="BV29" i="5"/>
  <c r="BV58" i="5"/>
  <c r="BX7" i="5"/>
  <c r="BY9" i="5"/>
  <c r="BY7" i="5" s="1"/>
  <c r="BV69" i="5"/>
  <c r="BV61" i="5"/>
  <c r="BV30" i="5"/>
  <c r="BV50" i="5"/>
  <c r="BV32" i="5"/>
  <c r="BX62" i="5"/>
  <c r="BY64" i="5"/>
  <c r="BY62" i="5" s="1"/>
  <c r="BV12" i="5"/>
  <c r="BW8" i="5"/>
  <c r="BW11" i="5"/>
  <c r="BW10" i="5"/>
  <c r="BV44" i="5"/>
  <c r="BV78" i="5"/>
  <c r="BV43" i="5"/>
  <c r="BV18" i="5"/>
  <c r="BV22" i="5"/>
  <c r="BV72" i="5"/>
  <c r="BV79" i="5"/>
  <c r="BV17" i="5"/>
  <c r="BV19" i="5"/>
  <c r="BV14" i="5"/>
  <c r="BV48" i="5"/>
  <c r="BV26" i="5"/>
  <c r="BV57" i="5"/>
  <c r="BV34" i="5"/>
  <c r="BV28" i="5"/>
  <c r="BV60" i="5"/>
  <c r="BV85" i="5"/>
  <c r="BV53" i="5"/>
  <c r="BV21" i="5"/>
  <c r="BV42" i="5"/>
  <c r="BV71" i="5"/>
  <c r="BV16" i="5"/>
  <c r="BV74" i="5"/>
  <c r="BV25" i="5"/>
  <c r="BV39" i="5"/>
  <c r="BV68" i="5"/>
  <c r="BV45" i="5"/>
  <c r="BV20" i="5"/>
  <c r="BV83" i="5"/>
  <c r="BV46" i="5"/>
  <c r="BV13" i="5"/>
  <c r="BV56" i="5"/>
  <c r="BV80" i="5"/>
  <c r="BV82" i="5"/>
  <c r="BV15" i="5"/>
  <c r="BV70" i="5"/>
  <c r="BV31" i="5"/>
  <c r="BV51" i="5"/>
  <c r="BV33" i="5"/>
  <c r="BV52" i="5"/>
  <c r="BV23" i="5"/>
  <c r="BV37" i="5"/>
  <c r="BV76" i="5"/>
  <c r="BV59" i="5"/>
  <c r="BV54" i="5"/>
  <c r="BV49" i="5"/>
  <c r="BV36" i="5"/>
  <c r="BV35" i="5"/>
  <c r="BW56" i="5" l="1"/>
  <c r="BW85" i="5"/>
  <c r="BW40" i="5"/>
  <c r="BW75" i="5"/>
  <c r="BW73" i="5"/>
  <c r="BW60" i="5"/>
  <c r="BW25" i="5"/>
  <c r="BW17" i="5"/>
  <c r="BW72" i="5"/>
  <c r="BW74" i="5"/>
  <c r="BW79" i="5"/>
  <c r="BW69" i="5"/>
  <c r="BW49" i="5"/>
  <c r="BW31" i="5"/>
  <c r="BW83" i="5"/>
  <c r="BW71" i="5"/>
  <c r="BW59" i="5"/>
  <c r="BW70" i="5"/>
  <c r="BW20" i="5"/>
  <c r="BW13" i="5"/>
  <c r="BW46" i="5"/>
  <c r="BW54" i="5"/>
  <c r="BW76" i="5"/>
  <c r="BW15" i="5"/>
  <c r="BW51" i="5"/>
  <c r="BW37" i="5"/>
  <c r="BW82" i="5"/>
  <c r="BW14" i="5"/>
  <c r="BW78" i="5"/>
  <c r="BW32" i="5"/>
  <c r="BW84" i="5"/>
  <c r="BW67" i="5"/>
  <c r="BW19" i="5"/>
  <c r="BW16" i="5"/>
  <c r="BW28" i="5"/>
  <c r="BW41" i="5"/>
  <c r="BW57" i="5"/>
  <c r="BW23" i="5"/>
  <c r="BW55" i="5"/>
  <c r="BW45" i="5"/>
  <c r="BW42" i="5"/>
  <c r="BW26" i="5"/>
  <c r="BW22" i="5"/>
  <c r="BW35" i="5"/>
  <c r="BW52" i="5"/>
  <c r="BW68" i="5"/>
  <c r="BW21" i="5"/>
  <c r="BW38" i="5"/>
  <c r="BW18" i="5"/>
  <c r="BW36" i="5"/>
  <c r="BW33" i="5"/>
  <c r="BW80" i="5"/>
  <c r="BW39" i="5"/>
  <c r="BW53" i="5"/>
  <c r="BW48" i="5"/>
  <c r="BW43" i="5"/>
  <c r="BW58" i="5"/>
  <c r="BW86" i="5"/>
  <c r="BY66" i="5"/>
  <c r="BY65" i="5"/>
  <c r="BY63" i="5"/>
  <c r="BX8" i="5"/>
  <c r="BX11" i="5"/>
  <c r="BX10" i="5"/>
  <c r="BW47" i="5"/>
  <c r="BX63" i="5"/>
  <c r="BX66" i="5"/>
  <c r="BX65" i="5"/>
  <c r="BX77" i="5" s="1"/>
  <c r="BW24" i="5"/>
  <c r="BW44" i="5"/>
  <c r="BW50" i="5"/>
  <c r="BW27" i="5"/>
  <c r="BW30" i="5"/>
  <c r="BW29" i="5"/>
  <c r="BW34" i="5"/>
  <c r="BW61" i="5"/>
  <c r="BW81" i="5"/>
  <c r="BW12" i="5"/>
  <c r="BY11" i="5"/>
  <c r="BY10" i="5"/>
  <c r="BY8" i="5"/>
  <c r="BY77" i="5" l="1"/>
  <c r="BX31" i="5"/>
  <c r="BY31" i="5" s="1"/>
  <c r="BX26" i="5"/>
  <c r="BY26" i="5" s="1"/>
  <c r="BX45" i="5"/>
  <c r="BY45" i="5" s="1"/>
  <c r="BX16" i="5"/>
  <c r="BY16" i="5" s="1"/>
  <c r="BX42" i="5"/>
  <c r="BY42" i="5" s="1"/>
  <c r="BX46" i="5"/>
  <c r="BY46" i="5" s="1"/>
  <c r="BX59" i="5"/>
  <c r="BY59" i="5" s="1"/>
  <c r="BX55" i="5"/>
  <c r="BY55" i="5" s="1"/>
  <c r="BX41" i="5"/>
  <c r="BY41" i="5" s="1"/>
  <c r="BX58" i="5"/>
  <c r="BY58" i="5" s="1"/>
  <c r="BX32" i="5"/>
  <c r="BY32" i="5" s="1"/>
  <c r="BX61" i="5"/>
  <c r="BY61" i="5" s="1"/>
  <c r="BX23" i="5"/>
  <c r="BY23" i="5" s="1"/>
  <c r="BX56" i="5"/>
  <c r="BY56" i="5" s="1"/>
  <c r="BX33" i="5"/>
  <c r="BY33" i="5" s="1"/>
  <c r="BX57" i="5"/>
  <c r="BY57" i="5" s="1"/>
  <c r="BX71" i="5"/>
  <c r="BY71" i="5" s="1"/>
  <c r="BX19" i="5"/>
  <c r="BY19" i="5" s="1"/>
  <c r="BX14" i="5"/>
  <c r="BY14" i="5" s="1"/>
  <c r="BX12" i="5"/>
  <c r="BY12" i="5" s="1"/>
  <c r="BX20" i="5"/>
  <c r="BY20" i="5" s="1"/>
  <c r="BX60" i="5"/>
  <c r="BY60" i="5" s="1"/>
  <c r="BX78" i="5"/>
  <c r="BY78" i="5" s="1"/>
  <c r="BX81" i="5"/>
  <c r="BY81" i="5" s="1"/>
  <c r="BX72" i="5"/>
  <c r="BY72" i="5" s="1"/>
  <c r="BX70" i="5"/>
  <c r="BY70" i="5" s="1"/>
  <c r="BX34" i="5"/>
  <c r="BY34" i="5" s="1"/>
  <c r="BX86" i="5"/>
  <c r="BY86" i="5" s="1"/>
  <c r="BX39" i="5"/>
  <c r="BY39" i="5" s="1"/>
  <c r="BX13" i="5"/>
  <c r="BY13" i="5" s="1"/>
  <c r="BX85" i="5"/>
  <c r="BY85" i="5" s="1"/>
  <c r="BX82" i="5"/>
  <c r="BY82" i="5" s="1"/>
  <c r="BX29" i="5"/>
  <c r="BY29" i="5" s="1"/>
  <c r="BX27" i="5"/>
  <c r="BY27" i="5" s="1"/>
  <c r="BX54" i="5"/>
  <c r="BY54" i="5" s="1"/>
  <c r="BX25" i="5"/>
  <c r="BY25" i="5" s="1"/>
  <c r="BX43" i="5"/>
  <c r="BY43" i="5" s="1"/>
  <c r="BX79" i="5"/>
  <c r="BY79" i="5" s="1"/>
  <c r="BX74" i="5"/>
  <c r="BY74" i="5" s="1"/>
  <c r="BX37" i="5"/>
  <c r="BY37" i="5" s="1"/>
  <c r="BX30" i="5"/>
  <c r="BY30" i="5" s="1"/>
  <c r="BX73" i="5"/>
  <c r="BY73" i="5" s="1"/>
  <c r="BX80" i="5"/>
  <c r="BY80" i="5" s="1"/>
  <c r="BX51" i="5"/>
  <c r="BY51" i="5" s="1"/>
  <c r="BX48" i="5"/>
  <c r="BY48" i="5" s="1"/>
  <c r="BX52" i="5"/>
  <c r="BY52" i="5" s="1"/>
  <c r="BX75" i="5"/>
  <c r="BY75" i="5" s="1"/>
  <c r="BX15" i="5"/>
  <c r="BY15" i="5" s="1"/>
  <c r="BX17" i="5"/>
  <c r="BY17" i="5" s="1"/>
  <c r="BX50" i="5"/>
  <c r="BY50" i="5" s="1"/>
  <c r="BX67" i="5"/>
  <c r="BY67" i="5" s="1"/>
  <c r="BX36" i="5"/>
  <c r="BY36" i="5" s="1"/>
  <c r="BX53" i="5"/>
  <c r="BY53" i="5" s="1"/>
  <c r="BX18" i="5"/>
  <c r="BY18" i="5" s="1"/>
  <c r="BX49" i="5"/>
  <c r="BY49" i="5" s="1"/>
  <c r="BX83" i="5"/>
  <c r="BY83" i="5" s="1"/>
  <c r="BX22" i="5"/>
  <c r="BY22" i="5" s="1"/>
  <c r="BX69" i="5"/>
  <c r="BY69" i="5" s="1"/>
  <c r="BX35" i="5"/>
  <c r="BY35" i="5" s="1"/>
  <c r="BX76" i="5"/>
  <c r="BY76" i="5" s="1"/>
  <c r="BX28" i="5"/>
  <c r="BY28" i="5" s="1"/>
  <c r="BX44" i="5"/>
  <c r="BY44" i="5" s="1"/>
  <c r="BX84" i="5"/>
  <c r="BY84" i="5" s="1"/>
  <c r="BX24" i="5"/>
  <c r="BY24" i="5" s="1"/>
  <c r="BX47" i="5"/>
  <c r="BY47" i="5" s="1"/>
  <c r="BX38" i="5"/>
  <c r="BY38" i="5" s="1"/>
  <c r="BX21" i="5"/>
  <c r="BY21" i="5" s="1"/>
  <c r="BX68" i="5"/>
  <c r="BY68" i="5" s="1"/>
  <c r="H34" i="56"/>
  <c r="H46" i="56"/>
  <c r="H35" i="61"/>
  <c r="H49" i="56"/>
  <c r="H38" i="56"/>
  <c r="H40" i="56"/>
  <c r="H39" i="56"/>
  <c r="H41" i="56"/>
  <c r="H47" i="56"/>
  <c r="H42" i="56"/>
  <c r="H48" i="56"/>
  <c r="H37" i="61"/>
  <c r="H37" i="56"/>
  <c r="H36" i="56"/>
  <c r="H35" i="56"/>
  <c r="H38" i="61"/>
  <c r="H45" i="56"/>
  <c r="H36" i="61"/>
  <c r="H43" i="56"/>
  <c r="H31" i="63"/>
  <c r="G42" i="63" s="1"/>
  <c r="H32" i="63"/>
  <c r="H44" i="56"/>
  <c r="U25" i="22"/>
  <c r="BX40" i="5"/>
  <c r="BY40" i="5" s="1"/>
  <c r="H42" i="61" l="1"/>
  <c r="H43" i="61"/>
  <c r="G42" i="61"/>
  <c r="G43" i="61"/>
  <c r="G34" i="63"/>
  <c r="H34" i="63"/>
  <c r="H50" i="56"/>
  <c r="G50" i="56"/>
  <c r="H41" i="61"/>
  <c r="H40" i="61"/>
  <c r="H39" i="61"/>
  <c r="G39" i="61"/>
  <c r="G41" i="61"/>
  <c r="G40" i="61"/>
  <c r="G33" i="63"/>
  <c r="H33" i="63"/>
  <c r="G51" i="61"/>
  <c r="G71" i="61"/>
  <c r="G33" i="56"/>
  <c r="G58" i="56" s="1"/>
  <c r="H33" i="56"/>
  <c r="H58" i="56" s="1"/>
  <c r="H59" i="56"/>
  <c r="G68" i="56"/>
  <c r="G88" i="56"/>
  <c r="G69" i="56"/>
  <c r="G78" i="56"/>
  <c r="U23" i="22"/>
  <c r="U24" i="22" s="1"/>
  <c r="U26" i="22" s="1"/>
  <c r="U28" i="22" s="1"/>
  <c r="G40" i="56"/>
  <c r="I40" i="56" s="1"/>
  <c r="G38" i="56"/>
  <c r="I38" i="56" s="1"/>
  <c r="G49" i="56"/>
  <c r="I49" i="56" s="1"/>
  <c r="G35" i="56"/>
  <c r="I35" i="56" s="1"/>
  <c r="G37" i="61"/>
  <c r="I37" i="61" s="1"/>
  <c r="G43" i="56"/>
  <c r="I43" i="56" s="1"/>
  <c r="G44" i="56"/>
  <c r="I44" i="56" s="1"/>
  <c r="G42" i="56"/>
  <c r="I42" i="56" s="1"/>
  <c r="G39" i="56"/>
  <c r="I39" i="56" s="1"/>
  <c r="G38" i="61"/>
  <c r="I38" i="61" s="1"/>
  <c r="G41" i="56"/>
  <c r="I41" i="56" s="1"/>
  <c r="G47" i="56"/>
  <c r="I47" i="56" s="1"/>
  <c r="G32" i="63"/>
  <c r="I32" i="63" s="1"/>
  <c r="G37" i="56"/>
  <c r="I37" i="56" s="1"/>
  <c r="G48" i="56"/>
  <c r="G31" i="63"/>
  <c r="G36" i="61"/>
  <c r="I36" i="61" s="1"/>
  <c r="G34" i="56"/>
  <c r="I34" i="56" s="1"/>
  <c r="G45" i="56"/>
  <c r="I45" i="56" s="1"/>
  <c r="G35" i="61"/>
  <c r="F71" i="61" s="1"/>
  <c r="G36" i="56"/>
  <c r="I36" i="56" s="1"/>
  <c r="G46" i="56"/>
  <c r="Q17" i="61" s="1"/>
  <c r="I43" i="61" l="1"/>
  <c r="L43" i="61" s="1"/>
  <c r="I42" i="61"/>
  <c r="L42" i="61" s="1"/>
  <c r="O42" i="61" s="1"/>
  <c r="P42" i="61" s="1"/>
  <c r="Q17" i="64"/>
  <c r="F42" i="63"/>
  <c r="Q13" i="64"/>
  <c r="I34" i="63"/>
  <c r="I50" i="56"/>
  <c r="I40" i="61"/>
  <c r="F87" i="61" s="1"/>
  <c r="I41" i="61"/>
  <c r="I39" i="61"/>
  <c r="J39" i="61" s="1"/>
  <c r="K39" i="61" s="1"/>
  <c r="I33" i="63"/>
  <c r="G72" i="61"/>
  <c r="G73" i="61" s="1"/>
  <c r="G74" i="61" s="1"/>
  <c r="G62" i="61"/>
  <c r="F72" i="61"/>
  <c r="F62" i="61"/>
  <c r="F43" i="63"/>
  <c r="G43" i="63"/>
  <c r="G44" i="63" s="1"/>
  <c r="G45" i="63" s="1"/>
  <c r="G52" i="61"/>
  <c r="G53" i="61" s="1"/>
  <c r="G54" i="61" s="1"/>
  <c r="G61" i="61"/>
  <c r="F52" i="61"/>
  <c r="F61" i="61"/>
  <c r="I35" i="61"/>
  <c r="H71" i="61" s="1"/>
  <c r="F51" i="61"/>
  <c r="G79" i="56"/>
  <c r="G80" i="56" s="1"/>
  <c r="G81" i="56" s="1"/>
  <c r="G89" i="56"/>
  <c r="G90" i="56" s="1"/>
  <c r="G91" i="56" s="1"/>
  <c r="I33" i="56"/>
  <c r="G10" i="56" s="1"/>
  <c r="Q16" i="56"/>
  <c r="Q13" i="63"/>
  <c r="Q23" i="61"/>
  <c r="E23" i="61"/>
  <c r="I48" i="56"/>
  <c r="F112" i="56" s="1"/>
  <c r="Q19" i="63"/>
  <c r="I31" i="63"/>
  <c r="E13" i="64" s="1"/>
  <c r="I18" i="56"/>
  <c r="F89" i="56"/>
  <c r="F79" i="56"/>
  <c r="G59" i="56"/>
  <c r="F88" i="56"/>
  <c r="Q20" i="29"/>
  <c r="Q22" i="56"/>
  <c r="I46" i="56"/>
  <c r="F69" i="56"/>
  <c r="F78" i="56"/>
  <c r="H88" i="56"/>
  <c r="I12" i="56"/>
  <c r="E22" i="56"/>
  <c r="F68" i="56"/>
  <c r="F54" i="63"/>
  <c r="L32" i="63"/>
  <c r="F109" i="56"/>
  <c r="L45" i="56"/>
  <c r="O45" i="56" s="1"/>
  <c r="J45" i="56"/>
  <c r="K45" i="56" s="1"/>
  <c r="F111" i="56"/>
  <c r="L47" i="56"/>
  <c r="F103" i="56"/>
  <c r="L39" i="56"/>
  <c r="J39" i="56"/>
  <c r="K39" i="56" s="1"/>
  <c r="U31" i="22"/>
  <c r="U38" i="22"/>
  <c r="U39" i="22" s="1"/>
  <c r="L41" i="56"/>
  <c r="F105" i="56"/>
  <c r="J41" i="56"/>
  <c r="K41" i="56" s="1"/>
  <c r="F100" i="56"/>
  <c r="L36" i="56"/>
  <c r="J36" i="56"/>
  <c r="K36" i="56" s="1"/>
  <c r="F98" i="56"/>
  <c r="L34" i="56"/>
  <c r="F84" i="61"/>
  <c r="G100" i="61" s="1"/>
  <c r="L37" i="61"/>
  <c r="J37" i="61"/>
  <c r="K37" i="61" s="1"/>
  <c r="F113" i="56"/>
  <c r="L49" i="56"/>
  <c r="F106" i="56"/>
  <c r="L42" i="56"/>
  <c r="J42" i="56"/>
  <c r="K42" i="56" s="1"/>
  <c r="F102" i="56"/>
  <c r="L38" i="56"/>
  <c r="J38" i="56"/>
  <c r="K38" i="56" s="1"/>
  <c r="G70" i="56"/>
  <c r="G71" i="56" s="1"/>
  <c r="F83" i="61"/>
  <c r="G99" i="61" s="1"/>
  <c r="L36" i="61"/>
  <c r="F101" i="56"/>
  <c r="L37" i="56"/>
  <c r="J37" i="56"/>
  <c r="K37" i="56" s="1"/>
  <c r="F85" i="61"/>
  <c r="G101" i="61" s="1"/>
  <c r="L38" i="61"/>
  <c r="J38" i="61"/>
  <c r="K38" i="61" s="1"/>
  <c r="F108" i="56"/>
  <c r="L44" i="56"/>
  <c r="O44" i="56" s="1"/>
  <c r="J44" i="56"/>
  <c r="K44" i="56" s="1"/>
  <c r="L40" i="56"/>
  <c r="F104" i="56"/>
  <c r="J40" i="56"/>
  <c r="K40" i="56" s="1"/>
  <c r="H61" i="56"/>
  <c r="H60" i="56"/>
  <c r="F107" i="56"/>
  <c r="L43" i="56"/>
  <c r="J43" i="56"/>
  <c r="K43" i="56" s="1"/>
  <c r="F99" i="56"/>
  <c r="L35" i="56"/>
  <c r="J35" i="56"/>
  <c r="K35" i="56" s="1"/>
  <c r="F89" i="61" l="1"/>
  <c r="I89" i="61" s="1"/>
  <c r="L89" i="61" s="1"/>
  <c r="M89" i="61" s="1"/>
  <c r="F90" i="61"/>
  <c r="J43" i="61"/>
  <c r="K43" i="61" s="1"/>
  <c r="O43" i="61"/>
  <c r="M43" i="61"/>
  <c r="N43" i="61" s="1"/>
  <c r="F88" i="61"/>
  <c r="J42" i="61"/>
  <c r="K42" i="61" s="1"/>
  <c r="F44" i="63"/>
  <c r="F45" i="63" s="1"/>
  <c r="H43" i="63"/>
  <c r="I43" i="63" s="1"/>
  <c r="J43" i="63" s="1"/>
  <c r="J34" i="63"/>
  <c r="K34" i="63" s="1"/>
  <c r="F56" i="63"/>
  <c r="I56" i="63" s="1"/>
  <c r="L56" i="63" s="1"/>
  <c r="M56" i="63" s="1"/>
  <c r="L34" i="63"/>
  <c r="I87" i="61"/>
  <c r="L87" i="61" s="1"/>
  <c r="M87" i="61" s="1"/>
  <c r="J50" i="56"/>
  <c r="K50" i="56" s="1"/>
  <c r="L50" i="56"/>
  <c r="F114" i="56"/>
  <c r="I114" i="56" s="1"/>
  <c r="L114" i="56" s="1"/>
  <c r="M114" i="56" s="1"/>
  <c r="G122" i="56"/>
  <c r="L40" i="61"/>
  <c r="O40" i="61" s="1"/>
  <c r="P40" i="61" s="1"/>
  <c r="J41" i="61"/>
  <c r="K41" i="61" s="1"/>
  <c r="L41" i="61"/>
  <c r="J40" i="61"/>
  <c r="K40" i="61" s="1"/>
  <c r="L39" i="61"/>
  <c r="O39" i="61" s="1"/>
  <c r="P39" i="61" s="1"/>
  <c r="F86" i="61"/>
  <c r="G102" i="61" s="1"/>
  <c r="E19" i="63"/>
  <c r="I19" i="63" s="1"/>
  <c r="M19" i="63" s="1"/>
  <c r="O19" i="63" s="1"/>
  <c r="F55" i="63"/>
  <c r="I55" i="63" s="1"/>
  <c r="L33" i="63"/>
  <c r="J33" i="63"/>
  <c r="K33" i="63" s="1"/>
  <c r="O32" i="63"/>
  <c r="P32" i="63" s="1"/>
  <c r="G63" i="61"/>
  <c r="G64" i="61" s="1"/>
  <c r="J36" i="61"/>
  <c r="K36" i="61" s="1"/>
  <c r="F82" i="61"/>
  <c r="G98" i="61" s="1"/>
  <c r="H72" i="61"/>
  <c r="H62" i="61"/>
  <c r="I30" i="63"/>
  <c r="H42" i="63"/>
  <c r="I42" i="63" s="1"/>
  <c r="J42" i="63" s="1"/>
  <c r="L35" i="61"/>
  <c r="L34" i="61" s="1"/>
  <c r="H52" i="61"/>
  <c r="I52" i="61" s="1"/>
  <c r="H61" i="61"/>
  <c r="I61" i="61" s="1"/>
  <c r="J61" i="61" s="1"/>
  <c r="I34" i="61"/>
  <c r="H51" i="61"/>
  <c r="I51" i="61" s="1"/>
  <c r="I58" i="56"/>
  <c r="E13" i="61"/>
  <c r="I13" i="61" s="1"/>
  <c r="I23" i="61"/>
  <c r="I22" i="56"/>
  <c r="J49" i="56"/>
  <c r="K49" i="56" s="1"/>
  <c r="L48" i="56"/>
  <c r="M48" i="56" s="1"/>
  <c r="N48" i="56" s="1"/>
  <c r="J48" i="56"/>
  <c r="K48" i="56" s="1"/>
  <c r="F80" i="56"/>
  <c r="F81" i="56" s="1"/>
  <c r="F53" i="63"/>
  <c r="I53" i="63" s="1"/>
  <c r="L53" i="63" s="1"/>
  <c r="J32" i="63"/>
  <c r="K32" i="63" s="1"/>
  <c r="E13" i="63"/>
  <c r="I13" i="63" s="1"/>
  <c r="H79" i="56"/>
  <c r="I79" i="56" s="1"/>
  <c r="F63" i="61"/>
  <c r="F64" i="61" s="1"/>
  <c r="L31" i="63"/>
  <c r="L30" i="63" s="1"/>
  <c r="H89" i="56"/>
  <c r="F73" i="61"/>
  <c r="F74" i="61" s="1"/>
  <c r="H69" i="56"/>
  <c r="E17" i="61"/>
  <c r="E24" i="61" s="1"/>
  <c r="E21" i="61" s="1"/>
  <c r="F110" i="56"/>
  <c r="I110" i="56" s="1"/>
  <c r="J46" i="56"/>
  <c r="K46" i="56" s="1"/>
  <c r="L46" i="56"/>
  <c r="M47" i="56" s="1"/>
  <c r="N47" i="56" s="1"/>
  <c r="E16" i="56"/>
  <c r="H78" i="56"/>
  <c r="J47" i="56"/>
  <c r="K47" i="56" s="1"/>
  <c r="O34" i="56"/>
  <c r="P34" i="56" s="1"/>
  <c r="J59" i="56"/>
  <c r="I59" i="56"/>
  <c r="M40" i="56"/>
  <c r="N40" i="56" s="1"/>
  <c r="M42" i="56"/>
  <c r="N42" i="56" s="1"/>
  <c r="M35" i="56"/>
  <c r="N35" i="56" s="1"/>
  <c r="M37" i="56"/>
  <c r="N37" i="56" s="1"/>
  <c r="M43" i="56"/>
  <c r="N43" i="56" s="1"/>
  <c r="O40" i="56"/>
  <c r="P40" i="56" s="1"/>
  <c r="O42" i="56"/>
  <c r="P42" i="56" s="1"/>
  <c r="M38" i="61"/>
  <c r="N38" i="61" s="1"/>
  <c r="O49" i="56"/>
  <c r="O37" i="56"/>
  <c r="P37" i="56" s="1"/>
  <c r="M38" i="56"/>
  <c r="N38" i="56" s="1"/>
  <c r="G108" i="56"/>
  <c r="G132" i="56"/>
  <c r="I108" i="56"/>
  <c r="L108" i="56" s="1"/>
  <c r="M108" i="56" s="1"/>
  <c r="I101" i="56"/>
  <c r="L101" i="56" s="1"/>
  <c r="M101" i="56" s="1"/>
  <c r="G101" i="56"/>
  <c r="G125" i="56"/>
  <c r="I98" i="56"/>
  <c r="I111" i="56"/>
  <c r="L111" i="56" s="1"/>
  <c r="M111" i="56" s="1"/>
  <c r="G111" i="56"/>
  <c r="I109" i="56"/>
  <c r="L109" i="56" s="1"/>
  <c r="M109" i="56" s="1"/>
  <c r="G109" i="56"/>
  <c r="G133" i="56"/>
  <c r="G130" i="56"/>
  <c r="I106" i="56"/>
  <c r="L106" i="56" s="1"/>
  <c r="M106" i="56" s="1"/>
  <c r="G106" i="56"/>
  <c r="G107" i="56"/>
  <c r="G131" i="56"/>
  <c r="I107" i="56"/>
  <c r="L107" i="56" s="1"/>
  <c r="M107" i="56" s="1"/>
  <c r="I102" i="56"/>
  <c r="L102" i="56" s="1"/>
  <c r="M102" i="56" s="1"/>
  <c r="G126" i="56"/>
  <c r="G102" i="56"/>
  <c r="M37" i="61"/>
  <c r="N37" i="61" s="1"/>
  <c r="U32" i="22"/>
  <c r="U35" i="22" s="1"/>
  <c r="M39" i="56"/>
  <c r="N39" i="56" s="1"/>
  <c r="O38" i="61"/>
  <c r="O36" i="61"/>
  <c r="O38" i="56"/>
  <c r="O37" i="61"/>
  <c r="M36" i="56"/>
  <c r="N36" i="56" s="1"/>
  <c r="I105" i="56"/>
  <c r="L105" i="56" s="1"/>
  <c r="M105" i="56" s="1"/>
  <c r="G129" i="56"/>
  <c r="G105" i="56"/>
  <c r="G127" i="56"/>
  <c r="I103" i="56"/>
  <c r="L103" i="56" s="1"/>
  <c r="M103" i="56" s="1"/>
  <c r="G103" i="56"/>
  <c r="I85" i="61"/>
  <c r="L85" i="61" s="1"/>
  <c r="I83" i="61"/>
  <c r="L83" i="61" s="1"/>
  <c r="I84" i="61"/>
  <c r="L84" i="61" s="1"/>
  <c r="G100" i="56"/>
  <c r="G124" i="56"/>
  <c r="I100" i="56"/>
  <c r="L100" i="56" s="1"/>
  <c r="M100" i="56" s="1"/>
  <c r="M41" i="56"/>
  <c r="N41" i="56" s="1"/>
  <c r="O39" i="56"/>
  <c r="I54" i="63"/>
  <c r="L54" i="63" s="1"/>
  <c r="I112" i="56"/>
  <c r="L112" i="56" s="1"/>
  <c r="M112" i="56" s="1"/>
  <c r="G112" i="56"/>
  <c r="O36" i="56"/>
  <c r="G61" i="56"/>
  <c r="G60" i="56"/>
  <c r="O41" i="56"/>
  <c r="G99" i="56"/>
  <c r="G123" i="56"/>
  <c r="I99" i="56"/>
  <c r="L99" i="56" s="1"/>
  <c r="M99" i="56" s="1"/>
  <c r="O35" i="56"/>
  <c r="G128" i="56"/>
  <c r="I104" i="56"/>
  <c r="L104" i="56" s="1"/>
  <c r="M104" i="56" s="1"/>
  <c r="G104" i="56"/>
  <c r="M44" i="56"/>
  <c r="N44" i="56" s="1"/>
  <c r="F70" i="56"/>
  <c r="F71" i="56" s="1"/>
  <c r="M45" i="56"/>
  <c r="N45" i="56" s="1"/>
  <c r="F90" i="56"/>
  <c r="F91" i="56" s="1"/>
  <c r="O43" i="56"/>
  <c r="P44" i="56"/>
  <c r="G113" i="56"/>
  <c r="I113" i="56"/>
  <c r="L113" i="56" s="1"/>
  <c r="M113" i="56" s="1"/>
  <c r="F53" i="61"/>
  <c r="F54" i="61" s="1"/>
  <c r="O47" i="56"/>
  <c r="P45" i="56"/>
  <c r="Q45" i="56"/>
  <c r="R45" i="56" s="1"/>
  <c r="I90" i="61" l="1"/>
  <c r="L90" i="61" s="1"/>
  <c r="M90" i="61" s="1"/>
  <c r="Q43" i="61"/>
  <c r="R43" i="61" s="1"/>
  <c r="P43" i="61"/>
  <c r="I88" i="61"/>
  <c r="L88" i="61" s="1"/>
  <c r="M88" i="61" s="1"/>
  <c r="O41" i="61"/>
  <c r="Q41" i="61" s="1"/>
  <c r="R41" i="61" s="1"/>
  <c r="M42" i="61"/>
  <c r="N42" i="61" s="1"/>
  <c r="O34" i="63"/>
  <c r="M50" i="56"/>
  <c r="N50" i="56" s="1"/>
  <c r="O33" i="63"/>
  <c r="Q33" i="63" s="1"/>
  <c r="R33" i="63" s="1"/>
  <c r="M34" i="63"/>
  <c r="N34" i="63" s="1"/>
  <c r="N114" i="56"/>
  <c r="O114" i="56" s="1"/>
  <c r="J114" i="56"/>
  <c r="O50" i="56"/>
  <c r="G114" i="56"/>
  <c r="P49" i="56"/>
  <c r="M41" i="61"/>
  <c r="N41" i="61" s="1"/>
  <c r="M39" i="61"/>
  <c r="N39" i="61" s="1"/>
  <c r="I86" i="61"/>
  <c r="L86" i="61" s="1"/>
  <c r="M86" i="61" s="1"/>
  <c r="H102" i="61" s="1"/>
  <c r="I102" i="61" s="1"/>
  <c r="M40" i="61"/>
  <c r="N40" i="61" s="1"/>
  <c r="Q40" i="61"/>
  <c r="R40" i="61" s="1"/>
  <c r="Q39" i="61"/>
  <c r="R39" i="61" s="1"/>
  <c r="M33" i="63"/>
  <c r="N33" i="63" s="1"/>
  <c r="L55" i="63"/>
  <c r="M55" i="63" s="1"/>
  <c r="N56" i="63" s="1"/>
  <c r="O56" i="63" s="1"/>
  <c r="F81" i="61"/>
  <c r="I82" i="61"/>
  <c r="O35" i="61"/>
  <c r="O34" i="61" s="1"/>
  <c r="M36" i="61"/>
  <c r="N36" i="61" s="1"/>
  <c r="E17" i="64"/>
  <c r="I17" i="64" s="1"/>
  <c r="M17" i="64" s="1"/>
  <c r="O17" i="64" s="1"/>
  <c r="I13" i="64"/>
  <c r="M13" i="64" s="1"/>
  <c r="O13" i="64" s="1"/>
  <c r="I20" i="63"/>
  <c r="K17" i="63" s="1"/>
  <c r="E20" i="63"/>
  <c r="E17" i="63" s="1"/>
  <c r="M23" i="61"/>
  <c r="O23" i="61" s="1"/>
  <c r="M22" i="56"/>
  <c r="O22" i="56" s="1"/>
  <c r="E23" i="56"/>
  <c r="E20" i="56" s="1"/>
  <c r="M13" i="63"/>
  <c r="M49" i="56"/>
  <c r="N49" i="56" s="1"/>
  <c r="M13" i="61"/>
  <c r="O13" i="61" s="1"/>
  <c r="O48" i="56"/>
  <c r="P48" i="56" s="1"/>
  <c r="L110" i="56"/>
  <c r="M110" i="56" s="1"/>
  <c r="M54" i="63"/>
  <c r="M83" i="61"/>
  <c r="H99" i="61" s="1"/>
  <c r="I99" i="61" s="1"/>
  <c r="M85" i="61"/>
  <c r="H101" i="61" s="1"/>
  <c r="I101" i="61" s="1"/>
  <c r="M84" i="61"/>
  <c r="H100" i="61" s="1"/>
  <c r="I100" i="61" s="1"/>
  <c r="F52" i="63"/>
  <c r="G110" i="56"/>
  <c r="G134" i="56"/>
  <c r="G136" i="56" s="1"/>
  <c r="M32" i="63"/>
  <c r="N32" i="63" s="1"/>
  <c r="O31" i="63"/>
  <c r="P31" i="63" s="1"/>
  <c r="M46" i="56"/>
  <c r="N46" i="56" s="1"/>
  <c r="O46" i="56"/>
  <c r="P46" i="56" s="1"/>
  <c r="I71" i="61"/>
  <c r="J71" i="61" s="1"/>
  <c r="I17" i="61"/>
  <c r="I24" i="61" s="1"/>
  <c r="K21" i="61" s="1"/>
  <c r="I62" i="61"/>
  <c r="J62" i="61" s="1"/>
  <c r="I72" i="61"/>
  <c r="J72" i="61" s="1"/>
  <c r="K72" i="61" s="1"/>
  <c r="H73" i="61"/>
  <c r="I16" i="56"/>
  <c r="I23" i="56" s="1"/>
  <c r="K20" i="56" s="1"/>
  <c r="Q34" i="56"/>
  <c r="R34" i="56" s="1"/>
  <c r="U33" i="22"/>
  <c r="Q37" i="56"/>
  <c r="R37" i="56" s="1"/>
  <c r="P47" i="56"/>
  <c r="J113" i="56"/>
  <c r="P41" i="56"/>
  <c r="Q41" i="56"/>
  <c r="R41" i="56" s="1"/>
  <c r="L33" i="56"/>
  <c r="J34" i="56"/>
  <c r="K34" i="56" s="1"/>
  <c r="J100" i="56"/>
  <c r="J108" i="56"/>
  <c r="P35" i="56"/>
  <c r="Q35" i="56"/>
  <c r="R35" i="56" s="1"/>
  <c r="Q37" i="61"/>
  <c r="R37" i="61" s="1"/>
  <c r="P37" i="61"/>
  <c r="J99" i="56"/>
  <c r="P39" i="56"/>
  <c r="Q39" i="56"/>
  <c r="R39" i="56" s="1"/>
  <c r="M53" i="63"/>
  <c r="I52" i="63"/>
  <c r="L98" i="56"/>
  <c r="M98" i="56" s="1"/>
  <c r="Q42" i="56"/>
  <c r="R42" i="56" s="1"/>
  <c r="H90" i="56"/>
  <c r="H91" i="56" s="1"/>
  <c r="M12" i="56"/>
  <c r="H68" i="56"/>
  <c r="J105" i="56"/>
  <c r="P38" i="56"/>
  <c r="Q38" i="56"/>
  <c r="R38" i="56" s="1"/>
  <c r="Q40" i="56"/>
  <c r="R40" i="56" s="1"/>
  <c r="P43" i="56"/>
  <c r="Q43" i="56"/>
  <c r="R43" i="56" s="1"/>
  <c r="J51" i="61"/>
  <c r="K51" i="61" s="1"/>
  <c r="M35" i="61"/>
  <c r="N35" i="61" s="1"/>
  <c r="P36" i="61"/>
  <c r="J109" i="56"/>
  <c r="K43" i="63"/>
  <c r="J35" i="61"/>
  <c r="K35" i="61" s="1"/>
  <c r="J103" i="56"/>
  <c r="P38" i="61"/>
  <c r="Q38" i="61"/>
  <c r="R38" i="61" s="1"/>
  <c r="J79" i="56"/>
  <c r="I89" i="56"/>
  <c r="J102" i="56"/>
  <c r="J111" i="56"/>
  <c r="J104" i="56"/>
  <c r="P36" i="56"/>
  <c r="Q36" i="56"/>
  <c r="R36" i="56" s="1"/>
  <c r="Q44" i="56"/>
  <c r="R44" i="56" s="1"/>
  <c r="J110" i="56"/>
  <c r="J112" i="56"/>
  <c r="J107" i="56"/>
  <c r="J106" i="56"/>
  <c r="J101" i="56"/>
  <c r="N90" i="61" l="1"/>
  <c r="O90" i="61" s="1"/>
  <c r="N89" i="61"/>
  <c r="O89" i="61" s="1"/>
  <c r="J102" i="61"/>
  <c r="W102" i="61" s="1"/>
  <c r="K102" i="61"/>
  <c r="G90" i="61"/>
  <c r="N88" i="61"/>
  <c r="O88" i="61" s="1"/>
  <c r="K101" i="61"/>
  <c r="J101" i="61"/>
  <c r="W101" i="61" s="1"/>
  <c r="G89" i="61"/>
  <c r="P41" i="61"/>
  <c r="Q42" i="61"/>
  <c r="R42" i="61" s="1"/>
  <c r="P34" i="63"/>
  <c r="Q50" i="56"/>
  <c r="R50" i="56" s="1"/>
  <c r="J56" i="63"/>
  <c r="G56" i="63"/>
  <c r="P33" i="63"/>
  <c r="Q34" i="63"/>
  <c r="R34" i="63" s="1"/>
  <c r="G104" i="61"/>
  <c r="P50" i="56"/>
  <c r="H122" i="56"/>
  <c r="I122" i="56" s="1"/>
  <c r="P114" i="56"/>
  <c r="Q114" i="56" s="1"/>
  <c r="N87" i="61"/>
  <c r="O87" i="61" s="1"/>
  <c r="J100" i="61"/>
  <c r="W100" i="61" s="1"/>
  <c r="K100" i="61"/>
  <c r="J99" i="61"/>
  <c r="W99" i="61" s="1"/>
  <c r="K99" i="61"/>
  <c r="N86" i="61"/>
  <c r="O86" i="61" s="1"/>
  <c r="G86" i="61"/>
  <c r="G87" i="61"/>
  <c r="G88" i="61"/>
  <c r="N55" i="63"/>
  <c r="O55" i="63" s="1"/>
  <c r="I81" i="61"/>
  <c r="L82" i="61"/>
  <c r="G55" i="63"/>
  <c r="J55" i="63"/>
  <c r="M82" i="61"/>
  <c r="H98" i="61" s="1"/>
  <c r="Q36" i="61"/>
  <c r="R36" i="61" s="1"/>
  <c r="P35" i="61"/>
  <c r="G83" i="61"/>
  <c r="G82" i="61"/>
  <c r="G85" i="61"/>
  <c r="F28" i="45"/>
  <c r="J28" i="45" s="1"/>
  <c r="G84" i="61"/>
  <c r="G53" i="63"/>
  <c r="Q49" i="56"/>
  <c r="R49" i="56" s="1"/>
  <c r="Q48" i="56"/>
  <c r="R48" i="56" s="1"/>
  <c r="O13" i="63"/>
  <c r="O20" i="63" s="1"/>
  <c r="N17" i="63" s="1"/>
  <c r="M17" i="61"/>
  <c r="O17" i="61" s="1"/>
  <c r="O24" i="61" s="1"/>
  <c r="N21" i="61" s="1"/>
  <c r="M16" i="56"/>
  <c r="O16" i="56" s="1"/>
  <c r="O23" i="56" s="1"/>
  <c r="N20" i="56" s="1"/>
  <c r="Q46" i="56"/>
  <c r="R46" i="56" s="1"/>
  <c r="G54" i="63"/>
  <c r="Q47" i="56"/>
  <c r="R47" i="56" s="1"/>
  <c r="Q32" i="63"/>
  <c r="R32" i="63" s="1"/>
  <c r="J73" i="61"/>
  <c r="I73" i="61"/>
  <c r="I74" i="61" s="1"/>
  <c r="M34" i="56"/>
  <c r="N34" i="56" s="1"/>
  <c r="J58" i="56"/>
  <c r="U36" i="22"/>
  <c r="U40" i="22" s="1"/>
  <c r="J54" i="63"/>
  <c r="I53" i="61"/>
  <c r="I54" i="61" s="1"/>
  <c r="H134" i="56"/>
  <c r="I134" i="56" s="1"/>
  <c r="P110" i="56"/>
  <c r="Q110" i="56" s="1"/>
  <c r="N110" i="56"/>
  <c r="O110" i="56" s="1"/>
  <c r="P111" i="56"/>
  <c r="Q111" i="56" s="1"/>
  <c r="N111" i="56"/>
  <c r="O111" i="56" s="1"/>
  <c r="J89" i="56"/>
  <c r="H70" i="56"/>
  <c r="H71" i="56" s="1"/>
  <c r="I88" i="56"/>
  <c r="I90" i="56" s="1"/>
  <c r="I91" i="56" s="1"/>
  <c r="K59" i="56"/>
  <c r="I68" i="56"/>
  <c r="J68" i="56" s="1"/>
  <c r="K68" i="56" s="1"/>
  <c r="N106" i="56"/>
  <c r="O106" i="56" s="1"/>
  <c r="H130" i="56"/>
  <c r="I130" i="56" s="1"/>
  <c r="P106" i="56"/>
  <c r="Q106" i="56" s="1"/>
  <c r="N104" i="56"/>
  <c r="O104" i="56" s="1"/>
  <c r="H128" i="56"/>
  <c r="I128" i="56" s="1"/>
  <c r="P104" i="56"/>
  <c r="Q104" i="56" s="1"/>
  <c r="N85" i="61"/>
  <c r="O85" i="61" s="1"/>
  <c r="M52" i="63"/>
  <c r="P99" i="56"/>
  <c r="Q99" i="56" s="1"/>
  <c r="N99" i="56"/>
  <c r="O99" i="56" s="1"/>
  <c r="H123" i="56"/>
  <c r="I123" i="56" s="1"/>
  <c r="P108" i="56"/>
  <c r="Q108" i="56" s="1"/>
  <c r="N108" i="56"/>
  <c r="O108" i="56" s="1"/>
  <c r="H132" i="56"/>
  <c r="I132" i="56" s="1"/>
  <c r="K79" i="56"/>
  <c r="Q35" i="61"/>
  <c r="J53" i="63"/>
  <c r="H53" i="61"/>
  <c r="H54" i="61" s="1"/>
  <c r="K62" i="61"/>
  <c r="M31" i="63"/>
  <c r="N31" i="63" s="1"/>
  <c r="P113" i="56"/>
  <c r="Q113" i="56" s="1"/>
  <c r="N113" i="56"/>
  <c r="O113" i="56" s="1"/>
  <c r="P101" i="56"/>
  <c r="Q101" i="56" s="1"/>
  <c r="H125" i="56"/>
  <c r="I125" i="56" s="1"/>
  <c r="N101" i="56"/>
  <c r="O101" i="56" s="1"/>
  <c r="H74" i="61"/>
  <c r="J31" i="63"/>
  <c r="K31" i="63" s="1"/>
  <c r="H126" i="56"/>
  <c r="I126" i="56" s="1"/>
  <c r="P102" i="56"/>
  <c r="Q102" i="56" s="1"/>
  <c r="N102" i="56"/>
  <c r="O102" i="56" s="1"/>
  <c r="N84" i="61"/>
  <c r="O84" i="61" s="1"/>
  <c r="H129" i="56"/>
  <c r="I129" i="56" s="1"/>
  <c r="P105" i="56"/>
  <c r="Q105" i="56" s="1"/>
  <c r="N105" i="56"/>
  <c r="O105" i="56" s="1"/>
  <c r="I44" i="63"/>
  <c r="I45" i="63" s="1"/>
  <c r="H44" i="63"/>
  <c r="H45" i="63" s="1"/>
  <c r="I63" i="61"/>
  <c r="I64" i="61" s="1"/>
  <c r="H63" i="61"/>
  <c r="H64" i="61" s="1"/>
  <c r="N54" i="63"/>
  <c r="O54" i="63" s="1"/>
  <c r="I69" i="56"/>
  <c r="I78" i="56"/>
  <c r="I80" i="56" s="1"/>
  <c r="I81" i="56" s="1"/>
  <c r="P109" i="56"/>
  <c r="Q109" i="56" s="1"/>
  <c r="H133" i="56"/>
  <c r="I133" i="56" s="1"/>
  <c r="N109" i="56"/>
  <c r="O109" i="56" s="1"/>
  <c r="P112" i="56"/>
  <c r="Q112" i="56" s="1"/>
  <c r="N112" i="56"/>
  <c r="O112" i="56" s="1"/>
  <c r="N107" i="56"/>
  <c r="O107" i="56" s="1"/>
  <c r="H131" i="56"/>
  <c r="I131" i="56" s="1"/>
  <c r="P107" i="56"/>
  <c r="Q107" i="56" s="1"/>
  <c r="H80" i="56"/>
  <c r="H81" i="56" s="1"/>
  <c r="H127" i="56"/>
  <c r="I127" i="56" s="1"/>
  <c r="P103" i="56"/>
  <c r="Q103" i="56" s="1"/>
  <c r="N103" i="56"/>
  <c r="O103" i="56" s="1"/>
  <c r="I61" i="56"/>
  <c r="I60" i="56"/>
  <c r="P100" i="56"/>
  <c r="Q100" i="56" s="1"/>
  <c r="N100" i="56"/>
  <c r="O100" i="56" s="1"/>
  <c r="H124" i="56"/>
  <c r="I124" i="56" s="1"/>
  <c r="J90" i="61" l="1"/>
  <c r="J89" i="61"/>
  <c r="P56" i="63"/>
  <c r="Q56" i="63" s="1"/>
  <c r="J86" i="61"/>
  <c r="J87" i="61"/>
  <c r="J88" i="61"/>
  <c r="J85" i="61"/>
  <c r="J83" i="61"/>
  <c r="J82" i="61"/>
  <c r="J84" i="61"/>
  <c r="P55" i="63"/>
  <c r="Q55" i="63" s="1"/>
  <c r="M81" i="61"/>
  <c r="I98" i="61"/>
  <c r="N83" i="61"/>
  <c r="O83" i="61" s="1"/>
  <c r="N28" i="45"/>
  <c r="P53" i="63"/>
  <c r="P52" i="63" s="1"/>
  <c r="P54" i="63"/>
  <c r="Q54" i="63" s="1"/>
  <c r="J52" i="61"/>
  <c r="K52" i="61" s="1"/>
  <c r="K53" i="61" s="1"/>
  <c r="J88" i="56"/>
  <c r="K88" i="56" s="1"/>
  <c r="I70" i="56"/>
  <c r="I71" i="56" s="1"/>
  <c r="J78" i="56"/>
  <c r="J80" i="56" s="1"/>
  <c r="J81" i="56" s="1"/>
  <c r="O30" i="63"/>
  <c r="Q31" i="63" s="1"/>
  <c r="K124" i="56"/>
  <c r="J124" i="56"/>
  <c r="J127" i="56"/>
  <c r="K127" i="56"/>
  <c r="H136" i="56"/>
  <c r="K132" i="56"/>
  <c r="J132" i="56"/>
  <c r="N53" i="63"/>
  <c r="K126" i="56"/>
  <c r="J126" i="56"/>
  <c r="K129" i="56"/>
  <c r="J129" i="56"/>
  <c r="J61" i="56"/>
  <c r="J60" i="56"/>
  <c r="K123" i="56"/>
  <c r="J123" i="56"/>
  <c r="K128" i="56"/>
  <c r="J128" i="56"/>
  <c r="K131" i="56"/>
  <c r="J131" i="56"/>
  <c r="K134" i="56"/>
  <c r="J134" i="56"/>
  <c r="L59" i="56"/>
  <c r="L60" i="56" s="1"/>
  <c r="K60" i="56"/>
  <c r="J69" i="56"/>
  <c r="K130" i="56"/>
  <c r="J130" i="56"/>
  <c r="K89" i="56"/>
  <c r="J133" i="56"/>
  <c r="K133" i="56"/>
  <c r="I136" i="56"/>
  <c r="K122" i="56"/>
  <c r="J122" i="56"/>
  <c r="J125" i="56"/>
  <c r="K125" i="56"/>
  <c r="P90" i="61" l="1"/>
  <c r="Q90" i="61" s="1"/>
  <c r="P89" i="61"/>
  <c r="Q89" i="61" s="1"/>
  <c r="P86" i="61"/>
  <c r="Q86" i="61" s="1"/>
  <c r="P87" i="61"/>
  <c r="Q87" i="61" s="1"/>
  <c r="P88" i="61"/>
  <c r="Q88" i="61" s="1"/>
  <c r="P85" i="61"/>
  <c r="Q85" i="61" s="1"/>
  <c r="P83" i="61"/>
  <c r="Q83" i="61" s="1"/>
  <c r="P82" i="61"/>
  <c r="Q82" i="61" s="1"/>
  <c r="P84" i="61"/>
  <c r="Q84" i="61" s="1"/>
  <c r="N82" i="61"/>
  <c r="O82" i="61" s="1"/>
  <c r="H104" i="61"/>
  <c r="Q53" i="63"/>
  <c r="K90" i="56"/>
  <c r="J53" i="61"/>
  <c r="J54" i="61" s="1"/>
  <c r="J90" i="56"/>
  <c r="J91" i="56" s="1"/>
  <c r="K78" i="56"/>
  <c r="K80" i="56" s="1"/>
  <c r="K71" i="61"/>
  <c r="K73" i="61" s="1"/>
  <c r="J74" i="61"/>
  <c r="N52" i="63"/>
  <c r="O53" i="63"/>
  <c r="K136" i="56"/>
  <c r="J136" i="56"/>
  <c r="K42" i="63"/>
  <c r="K44" i="63" s="1"/>
  <c r="J44" i="63"/>
  <c r="J45" i="63" s="1"/>
  <c r="K69" i="56"/>
  <c r="K70" i="56" s="1"/>
  <c r="J70" i="56"/>
  <c r="J71" i="56" s="1"/>
  <c r="K61" i="61"/>
  <c r="K63" i="61" s="1"/>
  <c r="J63" i="61"/>
  <c r="J64" i="61" s="1"/>
  <c r="I104" i="61"/>
  <c r="K98" i="61"/>
  <c r="J98" i="61"/>
  <c r="W98" i="61" s="1"/>
  <c r="N81" i="61" l="1"/>
  <c r="P81" i="61"/>
  <c r="J104" i="61"/>
  <c r="K104" i="61"/>
</calcChain>
</file>

<file path=xl/sharedStrings.xml><?xml version="1.0" encoding="utf-8"?>
<sst xmlns="http://schemas.openxmlformats.org/spreadsheetml/2006/main" count="699" uniqueCount="288">
  <si>
    <t>Дата</t>
  </si>
  <si>
    <t>КК</t>
  </si>
  <si>
    <t>№</t>
  </si>
  <si>
    <t>ПрПериод</t>
  </si>
  <si>
    <t>МесПериод</t>
  </si>
  <si>
    <t>ОВД</t>
  </si>
  <si>
    <t>Полковник</t>
  </si>
  <si>
    <t>ОВЗ</t>
  </si>
  <si>
    <t>Недобор</t>
  </si>
  <si>
    <t>Процент</t>
  </si>
  <si>
    <t>Период</t>
  </si>
  <si>
    <t>месяцев</t>
  </si>
  <si>
    <t>ОДС</t>
  </si>
  <si>
    <t>Тарифный разряд</t>
  </si>
  <si>
    <t>Воинское звание</t>
  </si>
  <si>
    <t>периода</t>
  </si>
  <si>
    <t>Сумма</t>
  </si>
  <si>
    <t>начала</t>
  </si>
  <si>
    <t>Подполковник</t>
  </si>
  <si>
    <t>Майор</t>
  </si>
  <si>
    <t>Капитан</t>
  </si>
  <si>
    <t>Ст. лейтенант</t>
  </si>
  <si>
    <t>Лейтенант</t>
  </si>
  <si>
    <t>Процент изменения</t>
  </si>
  <si>
    <t>©</t>
  </si>
  <si>
    <t>Число</t>
  </si>
  <si>
    <t>Архив</t>
  </si>
  <si>
    <t>Начальный период расчета пенсии</t>
  </si>
  <si>
    <t>Действующий период расчета пенсии</t>
  </si>
  <si>
    <t>Начальный период прогнозных расчетов</t>
  </si>
  <si>
    <t>Число прогнозных периодов</t>
  </si>
  <si>
    <t>ВПназ</t>
  </si>
  <si>
    <t>По</t>
  </si>
  <si>
    <t>Изменение недобора</t>
  </si>
  <si>
    <t>Выслуга лет</t>
  </si>
  <si>
    <t>Год назначения пенсии</t>
  </si>
  <si>
    <t>ВПрасч</t>
  </si>
  <si>
    <t>ПНВЛ</t>
  </si>
  <si>
    <t>Квп</t>
  </si>
  <si>
    <t>по ВПрасч</t>
  </si>
  <si>
    <t xml:space="preserve">Число расчетных периодов  </t>
  </si>
  <si>
    <t>№ периода повышения ВП</t>
  </si>
  <si>
    <t>Признак периода</t>
  </si>
  <si>
    <t>При расчетах не учитываются:</t>
  </si>
  <si>
    <t>районный коэффициент</t>
  </si>
  <si>
    <t>Исходными данными для расчетов являются:</t>
  </si>
  <si>
    <t>дата назначения военной пенсии</t>
  </si>
  <si>
    <t>воинское звание</t>
  </si>
  <si>
    <t>выслуга лет для назначения военной пенсии</t>
  </si>
  <si>
    <t xml:space="preserve"> в период после 01.01.2012 года. </t>
  </si>
  <si>
    <t>тарифный разряд по воинской должности</t>
  </si>
  <si>
    <t>Периоды расчета ВП</t>
  </si>
  <si>
    <t>Общее количество периодов расчета ВП</t>
  </si>
  <si>
    <t>Основные определения, термины и формулы расчета:</t>
  </si>
  <si>
    <t>─</t>
  </si>
  <si>
    <t>процент надбавки за выслугу лет, при выслуге 20 лет и более равен 40%</t>
  </si>
  <si>
    <t>ВП</t>
  </si>
  <si>
    <t>военная пенсия</t>
  </si>
  <si>
    <t>коэффициент ВП, интервал значений от 50% для выслуги 20 лет до 85% для выслуги более 32 лет</t>
  </si>
  <si>
    <t>Ппк</t>
  </si>
  <si>
    <t xml:space="preserve"> ОДС = ОВД + ОВЗ</t>
  </si>
  <si>
    <t>Структура программы</t>
  </si>
  <si>
    <t>разница между ВПрасч и ВПназ</t>
  </si>
  <si>
    <t>Недобор = ВПрасч - ВПназ</t>
  </si>
  <si>
    <r>
      <rPr>
        <sz val="12"/>
        <color theme="1"/>
        <rFont val="Times New Roman"/>
        <family val="1"/>
        <charset val="204"/>
      </rPr>
      <t>Лист</t>
    </r>
    <r>
      <rPr>
        <b/>
        <sz val="12"/>
        <color theme="1"/>
        <rFont val="Times New Roman"/>
        <family val="1"/>
        <charset val="204"/>
      </rPr>
      <t xml:space="preserve"> Инструкция</t>
    </r>
  </si>
  <si>
    <t xml:space="preserve">Главный лист программы. </t>
  </si>
  <si>
    <t xml:space="preserve">оклад денежного содержания </t>
  </si>
  <si>
    <t>Данная иструкция по работе с программой.</t>
  </si>
  <si>
    <t>ДДИП</t>
  </si>
  <si>
    <t xml:space="preserve">денежное довольствие для исчисления ВП </t>
  </si>
  <si>
    <t>ИндОДС</t>
  </si>
  <si>
    <t>% индексации ОВД</t>
  </si>
  <si>
    <t>№ цикла индексации ОДС</t>
  </si>
  <si>
    <t>% индексации ОВЗ</t>
  </si>
  <si>
    <t>Действующий цикл инд ОДС</t>
  </si>
  <si>
    <t>НомИндОДС</t>
  </si>
  <si>
    <t>выплата ветеранам боевых действий</t>
  </si>
  <si>
    <t>Дата начала последего периода расчета ВП</t>
  </si>
  <si>
    <t>Действующий цикл индексации ОДС</t>
  </si>
  <si>
    <t>Константы для расчетов (формируются автоматически)</t>
  </si>
  <si>
    <t>Начальный расчетный  цикл индексации ОДС</t>
  </si>
  <si>
    <t>№ периода</t>
  </si>
  <si>
    <t>Данные для настройки программы (формируются автоматически)</t>
  </si>
  <si>
    <t>Активность</t>
  </si>
  <si>
    <t>Корректность</t>
  </si>
  <si>
    <t>Сформ. строк</t>
  </si>
  <si>
    <t>R1</t>
  </si>
  <si>
    <t>Rn</t>
  </si>
  <si>
    <t>Rt</t>
  </si>
  <si>
    <t>R1 = первая строка таблицы</t>
  </si>
  <si>
    <t>Rn = последняя строка таблицы (нужная)</t>
  </si>
  <si>
    <t>Rt = последняя строка таблицы (текущая)</t>
  </si>
  <si>
    <t>Rv</t>
  </si>
  <si>
    <t>Rv = позиция вставки</t>
  </si>
  <si>
    <t>Rd</t>
  </si>
  <si>
    <t>Rd = позиция удаления</t>
  </si>
  <si>
    <t>Всего</t>
  </si>
  <si>
    <r>
      <t>оклад по воинскому званию (</t>
    </r>
    <r>
      <rPr>
        <i/>
        <sz val="12"/>
        <color theme="1"/>
        <rFont val="Times New Roman"/>
        <family val="1"/>
        <charset val="204"/>
      </rPr>
      <t>автовыбор из справочника</t>
    </r>
    <r>
      <rPr>
        <sz val="12"/>
        <color theme="1"/>
        <rFont val="Times New Roman"/>
        <family val="1"/>
        <charset val="204"/>
      </rPr>
      <t>)</t>
    </r>
  </si>
  <si>
    <t>Режимы работы программы</t>
  </si>
  <si>
    <t>Особенность работы с программой</t>
  </si>
  <si>
    <t>Для работы с программой используются макросы, поэтому необходимо в Microsoft Excel подключить возможность работы с ними.</t>
  </si>
  <si>
    <t>Мл. лейтенант</t>
  </si>
  <si>
    <t>Рядовой</t>
  </si>
  <si>
    <t>Ст.прапорщик</t>
  </si>
  <si>
    <t>Прапорщик</t>
  </si>
  <si>
    <t>Старшина</t>
  </si>
  <si>
    <t>Ст. сержант</t>
  </si>
  <si>
    <t>Сержант</t>
  </si>
  <si>
    <t>Мл.сержант</t>
  </si>
  <si>
    <t>Ефрейтор</t>
  </si>
  <si>
    <t>Маршал РФ</t>
  </si>
  <si>
    <t>Генерал армии</t>
  </si>
  <si>
    <t>Генерал-полковник</t>
  </si>
  <si>
    <t>Генерал-майор</t>
  </si>
  <si>
    <t xml:space="preserve">стандартной военной пенсии военнослужащих ВС РФ </t>
  </si>
  <si>
    <t>Параметры</t>
  </si>
  <si>
    <t>Инфляция</t>
  </si>
  <si>
    <t>ККфз</t>
  </si>
  <si>
    <t>ДнейВмесяце</t>
  </si>
  <si>
    <t>Исходные данные</t>
  </si>
  <si>
    <t>СпрИнд</t>
  </si>
  <si>
    <t>СпрОДС</t>
  </si>
  <si>
    <t>Инструкция</t>
  </si>
  <si>
    <t>1 - ВП назначена ранее 01.01.2012</t>
  </si>
  <si>
    <t>Районный коэффициент</t>
  </si>
  <si>
    <t>Режим настройки программы</t>
  </si>
  <si>
    <t>Видимость листов программы</t>
  </si>
  <si>
    <t>Военная пенсия 1</t>
  </si>
  <si>
    <t>Военная пенсия 2</t>
  </si>
  <si>
    <t>Военная пенсия 3</t>
  </si>
  <si>
    <t>Военная пенсия 4</t>
  </si>
  <si>
    <t>Работа</t>
  </si>
  <si>
    <t xml:space="preserve">Открытие </t>
  </si>
  <si>
    <t>программы</t>
  </si>
  <si>
    <t>книги</t>
  </si>
  <si>
    <t>Кнопка</t>
  </si>
  <si>
    <t>Активация</t>
  </si>
  <si>
    <t>Исх.данных</t>
  </si>
  <si>
    <t>Коррекция</t>
  </si>
  <si>
    <t>Таблица</t>
  </si>
  <si>
    <t>Режим 1</t>
  </si>
  <si>
    <t>Режим 2</t>
  </si>
  <si>
    <t>Режим 3</t>
  </si>
  <si>
    <t>Изменение ВПрасч</t>
  </si>
  <si>
    <t>Изменение ВПназ</t>
  </si>
  <si>
    <t>недобора</t>
  </si>
  <si>
    <t>Общее изменение</t>
  </si>
  <si>
    <t>Т11</t>
  </si>
  <si>
    <t>Таблица 1.0</t>
  </si>
  <si>
    <t>Таблица 2.0</t>
  </si>
  <si>
    <t>Таблица 3.0</t>
  </si>
  <si>
    <t xml:space="preserve">Таблица 1.1   </t>
  </si>
  <si>
    <t xml:space="preserve">  Расчеты военной пенсии по периодам её изменения</t>
  </si>
  <si>
    <t>С</t>
  </si>
  <si>
    <t>недоплаты</t>
  </si>
  <si>
    <t xml:space="preserve">Таблица 1.0   </t>
  </si>
  <si>
    <t xml:space="preserve">Таблица 1.2   </t>
  </si>
  <si>
    <t xml:space="preserve">Таблица 2.0   </t>
  </si>
  <si>
    <t xml:space="preserve">Таблица 2.1  </t>
  </si>
  <si>
    <t xml:space="preserve">Таблица 2.3    </t>
  </si>
  <si>
    <t xml:space="preserve">Таблица 3.0   </t>
  </si>
  <si>
    <t xml:space="preserve">Таблица 3.1    </t>
  </si>
  <si>
    <t xml:space="preserve">  Расчеты прогнозной военной пенсии по периодам её изменения</t>
  </si>
  <si>
    <t>Коэффициент классности</t>
  </si>
  <si>
    <t>Кратность изменения</t>
  </si>
  <si>
    <t>РК</t>
  </si>
  <si>
    <t>Ккл</t>
  </si>
  <si>
    <t>NomR</t>
  </si>
  <si>
    <t>KolS</t>
  </si>
  <si>
    <t>Режим</t>
  </si>
  <si>
    <t>№ страницы диаграммы</t>
  </si>
  <si>
    <t xml:space="preserve">  </t>
  </si>
  <si>
    <t>выплаты</t>
  </si>
  <si>
    <t>Процент недоплаты к</t>
  </si>
  <si>
    <r>
      <rPr>
        <b/>
        <sz val="11"/>
        <rFont val="Times New Roman"/>
        <family val="1"/>
        <charset val="204"/>
      </rPr>
      <t>Σ</t>
    </r>
    <r>
      <rPr>
        <b/>
        <sz val="11"/>
        <rFont val="Cambria"/>
        <family val="1"/>
        <charset val="204"/>
        <scheme val="major"/>
      </rPr>
      <t xml:space="preserve"> по ВПрасч</t>
    </r>
  </si>
  <si>
    <t>Отношение недоплаты к</t>
  </si>
  <si>
    <r>
      <rPr>
        <b/>
        <sz val="11"/>
        <rFont val="Times New Roman"/>
        <family val="1"/>
        <charset val="204"/>
      </rPr>
      <t>Σ</t>
    </r>
    <r>
      <rPr>
        <b/>
        <sz val="9.35"/>
        <rFont val="Cambria"/>
        <family val="1"/>
        <charset val="204"/>
      </rPr>
      <t xml:space="preserve"> </t>
    </r>
    <r>
      <rPr>
        <b/>
        <sz val="11"/>
        <rFont val="Cambria"/>
        <family val="1"/>
        <charset val="204"/>
        <scheme val="major"/>
      </rPr>
      <t>выплаты</t>
    </r>
  </si>
  <si>
    <r>
      <rPr>
        <b/>
        <sz val="11"/>
        <rFont val="Times New Roman"/>
        <family val="1"/>
        <charset val="204"/>
      </rPr>
      <t>Σ</t>
    </r>
    <r>
      <rPr>
        <b/>
        <sz val="11"/>
        <rFont val="Cambria"/>
        <family val="1"/>
        <charset val="204"/>
        <scheme val="major"/>
      </rPr>
      <t xml:space="preserve"> ВПрасч</t>
    </r>
  </si>
  <si>
    <t>Удалить</t>
  </si>
  <si>
    <t>Добавить</t>
  </si>
  <si>
    <t>Нуж. сформ.</t>
  </si>
  <si>
    <t>Последний период</t>
  </si>
  <si>
    <t>В строку</t>
  </si>
  <si>
    <t>AE3:AG3</t>
  </si>
  <si>
    <t>AE2:AG2</t>
  </si>
  <si>
    <t>ОВДтр</t>
  </si>
  <si>
    <t xml:space="preserve">ОВД </t>
  </si>
  <si>
    <t>оклад по воинской должности с учетом коэффициента классности</t>
  </si>
  <si>
    <t>коэффициент классности</t>
  </si>
  <si>
    <t>сумма ВП, вычисленной при КК=1,0 с учетом районного коэффициента РК</t>
  </si>
  <si>
    <t>сумма пенсии по потере кормильца с учетом районного коэффициента РК</t>
  </si>
  <si>
    <t>На</t>
  </si>
  <si>
    <t>На период</t>
  </si>
  <si>
    <t>ОВД = ОВДтр × Ккл</t>
  </si>
  <si>
    <r>
      <t xml:space="preserve">ВПрасч = ДДИП </t>
    </r>
    <r>
      <rPr>
        <b/>
        <sz val="12"/>
        <color theme="1"/>
        <rFont val="Calibri"/>
        <family val="2"/>
        <charset val="204"/>
      </rPr>
      <t>×</t>
    </r>
    <r>
      <rPr>
        <b/>
        <sz val="12"/>
        <color theme="1"/>
        <rFont val="Times New Roman"/>
        <family val="1"/>
        <charset val="204"/>
      </rPr>
      <t xml:space="preserve"> Квп × РК</t>
    </r>
  </si>
  <si>
    <r>
      <t xml:space="preserve">ВПназ = ВПрасч </t>
    </r>
    <r>
      <rPr>
        <b/>
        <sz val="12"/>
        <color theme="1"/>
        <rFont val="Calibri"/>
        <family val="2"/>
        <charset val="204"/>
      </rPr>
      <t>×</t>
    </r>
    <r>
      <rPr>
        <b/>
        <sz val="12"/>
        <color theme="1"/>
        <rFont val="Times New Roman"/>
        <family val="1"/>
        <charset val="204"/>
      </rPr>
      <t xml:space="preserve"> КК</t>
    </r>
  </si>
  <si>
    <t>сумма назначенной ВП</t>
  </si>
  <si>
    <t>Режим 4</t>
  </si>
  <si>
    <t>Σ выплаты</t>
  </si>
  <si>
    <r>
      <t xml:space="preserve">ДДИП = ОДС </t>
    </r>
    <r>
      <rPr>
        <b/>
        <sz val="12"/>
        <color theme="1"/>
        <rFont val="Calibri"/>
        <family val="2"/>
        <charset val="204"/>
      </rPr>
      <t>×</t>
    </r>
    <r>
      <rPr>
        <b/>
        <sz val="12"/>
        <color theme="1"/>
        <rFont val="Times New Roman"/>
        <family val="1"/>
        <charset val="204"/>
      </rPr>
      <t xml:space="preserve"> (1 + ПНВЛ)</t>
    </r>
  </si>
  <si>
    <t>Военная пенсия  назначена ранее 1 января 2012 года.</t>
  </si>
  <si>
    <r>
      <rPr>
        <sz val="12"/>
        <color theme="1"/>
        <rFont val="Times New Roman"/>
        <family val="1"/>
        <charset val="204"/>
      </rPr>
      <t xml:space="preserve">Листы </t>
    </r>
    <r>
      <rPr>
        <b/>
        <sz val="12"/>
        <color theme="1"/>
        <rFont val="Times New Roman"/>
        <family val="1"/>
        <charset val="204"/>
      </rPr>
      <t>Военная пенсия 1 (2, 3, 4)</t>
    </r>
  </si>
  <si>
    <r>
      <t xml:space="preserve">Лист  </t>
    </r>
    <r>
      <rPr>
        <b/>
        <sz val="12"/>
        <color theme="1"/>
        <rFont val="Times New Roman"/>
        <family val="1"/>
        <charset val="204"/>
      </rPr>
      <t>Исходные данные</t>
    </r>
  </si>
  <si>
    <r>
      <rPr>
        <sz val="12"/>
        <color theme="1"/>
        <rFont val="Times New Roman"/>
        <family val="1"/>
        <charset val="204"/>
      </rPr>
      <t>Лист</t>
    </r>
    <r>
      <rPr>
        <b/>
        <sz val="12"/>
        <color theme="1"/>
        <rFont val="Times New Roman"/>
        <family val="1"/>
        <charset val="204"/>
      </rPr>
      <t xml:space="preserve">  СпрИнд</t>
    </r>
  </si>
  <si>
    <r>
      <rPr>
        <sz val="12"/>
        <color theme="1"/>
        <rFont val="Times New Roman"/>
        <family val="1"/>
        <charset val="204"/>
      </rPr>
      <t>Лист</t>
    </r>
    <r>
      <rPr>
        <b/>
        <sz val="12"/>
        <color theme="1"/>
        <rFont val="Times New Roman"/>
        <family val="1"/>
        <charset val="204"/>
      </rPr>
      <t xml:space="preserve">  СпрОДС</t>
    </r>
  </si>
  <si>
    <t>Справочник ОВД и ОВЗ по периодам изменения ВП</t>
  </si>
  <si>
    <t>Обобщенные данные по ВП в режимах работы программы 1 (2, 3, 4)</t>
  </si>
  <si>
    <t>Коэффициент ВП</t>
  </si>
  <si>
    <t>Коэффициент Ппк</t>
  </si>
  <si>
    <t>Кппк</t>
  </si>
  <si>
    <r>
      <t xml:space="preserve">Ппк = ДДИП </t>
    </r>
    <r>
      <rPr>
        <b/>
        <sz val="12"/>
        <color theme="1"/>
        <rFont val="Calibri"/>
        <family val="2"/>
        <charset val="204"/>
      </rPr>
      <t>×</t>
    </r>
    <r>
      <rPr>
        <b/>
        <sz val="12"/>
        <color theme="1"/>
        <rFont val="Times New Roman"/>
        <family val="1"/>
        <charset val="204"/>
      </rPr>
      <t xml:space="preserve"> Кппк </t>
    </r>
    <r>
      <rPr>
        <b/>
        <sz val="12"/>
        <color theme="1"/>
        <rFont val="Calibri"/>
        <family val="2"/>
        <charset val="204"/>
      </rPr>
      <t>×</t>
    </r>
    <r>
      <rPr>
        <b/>
        <sz val="12"/>
        <color theme="1"/>
        <rFont val="Times New Roman"/>
        <family val="1"/>
        <charset val="204"/>
      </rPr>
      <t xml:space="preserve"> КК× РК</t>
    </r>
  </si>
  <si>
    <t>коэффициент пенсии по потере кормильца, значение 40% или  50%</t>
  </si>
  <si>
    <t xml:space="preserve">Программа предназначена для расчета </t>
  </si>
  <si>
    <r>
      <t>штатный тарифный оклад по воинской должности (</t>
    </r>
    <r>
      <rPr>
        <i/>
        <sz val="12"/>
        <color theme="1"/>
        <rFont val="Times New Roman"/>
        <family val="1"/>
        <charset val="204"/>
      </rPr>
      <t>автовыбор из справочника</t>
    </r>
    <r>
      <rPr>
        <sz val="12"/>
        <color theme="1"/>
        <rFont val="Times New Roman"/>
        <family val="1"/>
        <charset val="204"/>
      </rPr>
      <t>)</t>
    </r>
  </si>
  <si>
    <t>Периоды</t>
  </si>
  <si>
    <t>Активный</t>
  </si>
  <si>
    <t>Измен.</t>
  </si>
  <si>
    <t>Корекц</t>
  </si>
  <si>
    <t>Новый</t>
  </si>
  <si>
    <t>Примечание</t>
  </si>
  <si>
    <t>Генерал-лейтенант</t>
  </si>
  <si>
    <t>Справочник по периодам изменения ВП (архивным, действующего и прогнозным)</t>
  </si>
  <si>
    <t>01.01.2025</t>
  </si>
  <si>
    <t>установленный корректирующий коэффициент ДДИП в интервале от 0,54 до 1,0</t>
  </si>
  <si>
    <t>01.10.2024</t>
  </si>
  <si>
    <t>&lt;== Измените дату</t>
  </si>
  <si>
    <t>&lt;== Измените КК</t>
  </si>
  <si>
    <t>&lt;== Измените дату и КК</t>
  </si>
  <si>
    <t>Кдв</t>
  </si>
  <si>
    <t>Выплата</t>
  </si>
  <si>
    <t xml:space="preserve">Таблица 1.6 </t>
  </si>
  <si>
    <t xml:space="preserve">  Расчеты выплат военной пенсии по периодам изменения</t>
  </si>
  <si>
    <t xml:space="preserve">Таблица 1.3    </t>
  </si>
  <si>
    <t xml:space="preserve">Таблица 1.4   </t>
  </si>
  <si>
    <t xml:space="preserve">Таблица 1.5 </t>
  </si>
  <si>
    <t>Таблица 1.5</t>
  </si>
  <si>
    <t>Таблица 1.6</t>
  </si>
  <si>
    <t xml:space="preserve">Общее </t>
  </si>
  <si>
    <t>изменение</t>
  </si>
  <si>
    <t>Доплата</t>
  </si>
  <si>
    <t>Общее</t>
  </si>
  <si>
    <t>Всего на</t>
  </si>
  <si>
    <t xml:space="preserve">Таблица 2.2 </t>
  </si>
  <si>
    <t xml:space="preserve">Таблица 2.5  </t>
  </si>
  <si>
    <t xml:space="preserve">Таблица 2.4 </t>
  </si>
  <si>
    <t>Таблица 2.4</t>
  </si>
  <si>
    <t>Таблица 2.6</t>
  </si>
  <si>
    <t>Таблица 3.2</t>
  </si>
  <si>
    <t>выплаты по инвалидности</t>
  </si>
  <si>
    <t>выплаты на иждивенцев</t>
  </si>
  <si>
    <t>коэффициент дополнительной выплаты к ВП и Ппк</t>
  </si>
  <si>
    <t>сумма дополнительной выплаты к ВП</t>
  </si>
  <si>
    <t>общая сумма ВПназ и доплаты к ВПназ</t>
  </si>
  <si>
    <t>сумма дополнительной выплаты к Ппк</t>
  </si>
  <si>
    <t>общая сумма Ппк и доплаты к Ппк</t>
  </si>
  <si>
    <t>ДоплатаВП</t>
  </si>
  <si>
    <t>ВыплатаВП</t>
  </si>
  <si>
    <t>ДоплатаПпк</t>
  </si>
  <si>
    <t>ВыплатаПпк</t>
  </si>
  <si>
    <t>ДоплатаВП = ВПназ × Кдв</t>
  </si>
  <si>
    <t>ВыплатаВП = ВПназ + ДоплатаВП</t>
  </si>
  <si>
    <t>ДоплатаПпк = Ппк × Кдв</t>
  </si>
  <si>
    <t>ВыплатаПпк = Ппк + ДоплатаПпк</t>
  </si>
  <si>
    <t>к ВП</t>
  </si>
  <si>
    <t xml:space="preserve">Изменение выплаты ВП </t>
  </si>
  <si>
    <t>Месяцев</t>
  </si>
  <si>
    <t>Дней</t>
  </si>
  <si>
    <t xml:space="preserve">Настройка таблиц    </t>
  </si>
  <si>
    <t>При входе в программу</t>
  </si>
  <si>
    <t>При входе в режим ВП</t>
  </si>
  <si>
    <t>При входе в инфляцию</t>
  </si>
  <si>
    <t>Таблица 1.10</t>
  </si>
  <si>
    <t>Таблица 1.12</t>
  </si>
  <si>
    <t>Таблица 1.13</t>
  </si>
  <si>
    <t>Военная пенсия на</t>
  </si>
  <si>
    <t>Ежемесячная доплата к ВП</t>
  </si>
  <si>
    <t>Дата назначения ВП</t>
  </si>
  <si>
    <t>Общая выплата ВП</t>
  </si>
  <si>
    <t>ТР</t>
  </si>
  <si>
    <t>Расчетная</t>
  </si>
  <si>
    <t>Назначенная</t>
  </si>
  <si>
    <t>Выплата Ппк</t>
  </si>
  <si>
    <t>Военная пенсия на  31.12.2011</t>
  </si>
  <si>
    <t>Военная пенсия на  01.01.2012</t>
  </si>
  <si>
    <t>Удаление</t>
  </si>
  <si>
    <t>ККпрог</t>
  </si>
  <si>
    <t/>
  </si>
  <si>
    <t>Программа разработана в Microsoft Excel версии 2016. Распространяется по принципу "Как есть" ("As is").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</si>
</sst>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\ _₽_-;\-* #,##0.00\ _₽_-;_-* &quot;-&quot;??\ _₽_-;_-@_-"/>
    <numFmt numFmtId="165" formatCode="_(* #,##0.00_);_(* \(#,##0.00\);_(* &quot;-&quot;??_);_(@_)"/>
    <numFmt numFmtId="166" formatCode="&quot;р.&quot;#,##0.00_);[Red]\(&quot;р.&quot;#,##0.00\)"/>
    <numFmt numFmtId="167" formatCode="_(&quot;р.&quot;* #,##0.00_);_(&quot;р.&quot;* \(#,##0.00\);_(&quot;р.&quot;* &quot;-&quot;??_);_(@_)"/>
    <numFmt numFmtId="168" formatCode="[$-419]General"/>
    <numFmt numFmtId="169" formatCode="#,##0.00&quot; &quot;[$руб.-419];[Red]&quot;-&quot;#,##0.00&quot; &quot;[$руб.-419]"/>
    <numFmt numFmtId="170" formatCode="#,##0.00\ _р_."/>
    <numFmt numFmtId="171" formatCode="#,##0.00\ &quot;р.&quot;"/>
    <numFmt numFmtId="172" formatCode="#,##0.00\ _₽"/>
    <numFmt numFmtId="173" formatCode="#,##0.00\ _₽;\-#,##0.00\ _₽"/>
    <numFmt numFmtId="174" formatCode="#,##0\ _₽"/>
  </numFmts>
  <fonts count="9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70C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color theme="1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b/>
      <sz val="12"/>
      <color theme="1"/>
      <name val="Cambria"/>
      <family val="1"/>
      <charset val="204"/>
      <scheme val="major"/>
    </font>
    <font>
      <b/>
      <sz val="1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2"/>
      <name val="Calibri"/>
      <family val="2"/>
      <charset val="204"/>
    </font>
    <font>
      <sz val="11"/>
      <name val="Cambria"/>
      <family val="1"/>
      <charset val="204"/>
      <scheme val="major"/>
    </font>
    <font>
      <b/>
      <sz val="11"/>
      <name val="Cambria"/>
      <family val="1"/>
      <charset val="204"/>
      <scheme val="maj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0070C0"/>
      <name val="Calibri"/>
      <family val="2"/>
      <charset val="204"/>
      <scheme val="minor"/>
    </font>
    <font>
      <b/>
      <sz val="10"/>
      <name val="Cambria"/>
      <family val="1"/>
      <charset val="204"/>
    </font>
    <font>
      <b/>
      <sz val="10"/>
      <color theme="1"/>
      <name val="Cambria"/>
      <family val="1"/>
      <charset val="204"/>
    </font>
    <font>
      <sz val="8"/>
      <name val="Cambria"/>
      <family val="1"/>
      <charset val="204"/>
    </font>
    <font>
      <sz val="10"/>
      <name val="Cambria"/>
      <family val="1"/>
      <charset val="204"/>
    </font>
    <font>
      <sz val="10"/>
      <color theme="1"/>
      <name val="Cambria"/>
      <family val="1"/>
      <charset val="204"/>
    </font>
    <font>
      <b/>
      <sz val="9.35"/>
      <name val="Cambria"/>
      <family val="1"/>
      <charset val="204"/>
    </font>
    <font>
      <sz val="8"/>
      <color theme="0"/>
      <name val="Calibri"/>
      <family val="2"/>
      <charset val="204"/>
      <scheme val="minor"/>
    </font>
    <font>
      <sz val="9"/>
      <color theme="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u/>
      <sz val="10"/>
      <name val="Cambria"/>
      <family val="1"/>
      <charset val="204"/>
    </font>
    <font>
      <sz val="10"/>
      <color theme="0" tint="-4.9989318521683403E-2"/>
      <name val="Cambria"/>
      <family val="1"/>
      <charset val="204"/>
    </font>
    <font>
      <b/>
      <sz val="10"/>
      <color rgb="FFFF0000"/>
      <name val="Cambria"/>
      <family val="1"/>
      <charset val="204"/>
    </font>
    <font>
      <sz val="10"/>
      <color theme="0"/>
      <name val="Cambria"/>
      <family val="1"/>
      <charset val="204"/>
    </font>
    <font>
      <sz val="9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rgb="FF00B050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9"/>
      <color theme="0" tint="-4.9989318521683403E-2"/>
      <name val="Calibri"/>
      <family val="2"/>
      <charset val="204"/>
      <scheme val="minor"/>
    </font>
    <font>
      <b/>
      <i/>
      <u/>
      <sz val="18"/>
      <color theme="1"/>
      <name val="Calibri"/>
      <family val="2"/>
      <charset val="204"/>
    </font>
    <font>
      <sz val="12"/>
      <color theme="0" tint="-4.9989318521683403E-2"/>
      <name val="Times New Roman"/>
      <family val="1"/>
      <charset val="204"/>
    </font>
    <font>
      <i/>
      <sz val="8"/>
      <color rgb="FFFF0000"/>
      <name val="Cambria"/>
      <family val="1"/>
      <charset val="204"/>
    </font>
    <font>
      <b/>
      <sz val="11"/>
      <color theme="0" tint="-4.9989318521683403E-2"/>
      <name val="Calibri"/>
      <family val="2"/>
      <charset val="204"/>
      <scheme val="minor"/>
    </font>
    <font>
      <b/>
      <sz val="12"/>
      <color theme="0" tint="-4.9989318521683403E-2"/>
      <name val="Calibri"/>
      <family val="2"/>
      <charset val="204"/>
      <scheme val="minor"/>
    </font>
    <font>
      <sz val="12"/>
      <color theme="0" tint="-4.9989318521683403E-2"/>
      <name val="Calibri"/>
      <family val="2"/>
      <charset val="204"/>
      <scheme val="minor"/>
    </font>
    <font>
      <sz val="11"/>
      <color theme="0" tint="-4.9989318521683403E-2"/>
      <name val="Calibri"/>
      <family val="2"/>
      <charset val="204"/>
      <scheme val="minor"/>
    </font>
    <font>
      <b/>
      <sz val="12"/>
      <color theme="0" tint="-4.9989318521683403E-2"/>
      <name val="Cambria"/>
      <family val="1"/>
      <charset val="204"/>
      <scheme val="maj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b/>
      <sz val="10"/>
      <color theme="0"/>
      <name val="Cambria"/>
      <family val="1"/>
      <charset val="204"/>
    </font>
    <font>
      <sz val="11"/>
      <color theme="0" tint="-0.24994659260841701"/>
      <name val="Calibri"/>
      <family val="2"/>
      <charset val="204"/>
      <scheme val="minor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6" tint="0.59996337778862885"/>
      <name val="Calibri"/>
      <family val="2"/>
      <charset val="204"/>
      <scheme val="minor"/>
    </font>
    <font>
      <sz val="11"/>
      <color theme="6" tint="0.39994506668294322"/>
      <name val="Calibri"/>
      <family val="2"/>
      <charset val="204"/>
      <scheme val="minor"/>
    </font>
    <font>
      <sz val="11"/>
      <color theme="0" tint="-0.24994659260841701"/>
      <name val="Cambria"/>
      <family val="1"/>
      <charset val="204"/>
      <scheme val="major"/>
    </font>
    <font>
      <b/>
      <sz val="11"/>
      <color theme="6" tint="0.59996337778862885"/>
      <name val="Cambria"/>
      <family val="1"/>
      <charset val="204"/>
      <scheme val="major"/>
    </font>
    <font>
      <sz val="8"/>
      <color theme="0"/>
      <name val="Cambria"/>
      <family val="1"/>
      <charset val="204"/>
    </font>
    <font>
      <b/>
      <sz val="11"/>
      <color theme="1"/>
      <name val="Cambria"/>
      <family val="1"/>
      <charset val="204"/>
      <scheme val="major"/>
    </font>
    <font>
      <b/>
      <i/>
      <sz val="11"/>
      <color theme="1"/>
      <name val="Cambria"/>
      <family val="1"/>
      <charset val="204"/>
    </font>
    <font>
      <b/>
      <i/>
      <sz val="12"/>
      <color theme="1"/>
      <name val="Cambria"/>
      <family val="1"/>
      <charset val="204"/>
    </font>
    <font>
      <b/>
      <i/>
      <sz val="11"/>
      <color rgb="FF0070C0"/>
      <name val="Cambria"/>
      <family val="1"/>
      <charset val="204"/>
      <scheme val="major"/>
    </font>
    <font>
      <sz val="11"/>
      <color theme="0" tint="-4.9989318521683403E-2"/>
      <name val="Cambria"/>
      <family val="1"/>
      <charset val="204"/>
      <scheme val="major"/>
    </font>
    <font>
      <b/>
      <i/>
      <sz val="12"/>
      <color rgb="FF0070C0"/>
      <name val="Calibri"/>
      <family val="2"/>
      <charset val="204"/>
      <scheme val="minor"/>
    </font>
    <font>
      <b/>
      <sz val="11"/>
      <color rgb="FF0070C0"/>
      <name val="Cambria"/>
      <family val="1"/>
      <charset val="204"/>
      <scheme val="major"/>
    </font>
    <font>
      <b/>
      <sz val="11"/>
      <color rgb="FF0070C0"/>
      <name val="Calibri"/>
      <family val="2"/>
      <charset val="204"/>
      <scheme val="minor"/>
    </font>
    <font>
      <sz val="10"/>
      <name val="Cambria"/>
      <family val="1"/>
      <charset val="204"/>
      <scheme val="major"/>
    </font>
    <font>
      <sz val="11"/>
      <color theme="6" tint="0.79998168889431442"/>
      <name val="Calibri"/>
      <family val="2"/>
      <charset val="204"/>
      <scheme val="minor"/>
    </font>
    <font>
      <b/>
      <sz val="14"/>
      <color rgb="FF0070C0"/>
      <name val="Calibri"/>
      <family val="2"/>
      <charset val="204"/>
    </font>
    <font>
      <b/>
      <sz val="11"/>
      <color rgb="FF0070C0"/>
      <name val="Cambria"/>
      <family val="1"/>
      <charset val="204"/>
    </font>
    <font>
      <b/>
      <i/>
      <sz val="12"/>
      <color rgb="FF0070C0"/>
      <name val="Cambria"/>
      <family val="1"/>
      <charset val="204"/>
      <scheme val="major"/>
    </font>
    <font>
      <sz val="8"/>
      <color theme="0"/>
      <name val="Times New Roman"/>
      <family val="1"/>
      <charset val="204"/>
    </font>
    <font>
      <sz val="11"/>
      <color theme="0" tint="-4.9989318521683403E-2"/>
      <name val="Times New Roman"/>
      <family val="1"/>
      <charset val="204"/>
    </font>
    <font>
      <sz val="12"/>
      <color theme="0"/>
      <name val="Calibri"/>
      <family val="2"/>
      <charset val="204"/>
    </font>
    <font>
      <sz val="10"/>
      <color theme="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lightGray">
        <fgColor auto="1"/>
      </pattern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gradientFill degree="90">
        <stop position="0">
          <color theme="0"/>
        </stop>
        <stop position="1">
          <color theme="0" tint="-0.34900967436750391"/>
        </stop>
      </gradient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auto="1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6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 tint="0.79998168889431442"/>
        <bgColor auto="1"/>
      </patternFill>
    </fill>
    <fill>
      <gradientFill degree="90">
        <stop position="0">
          <color theme="0"/>
        </stop>
        <stop position="1">
          <color rgb="FFBAD18B"/>
        </stop>
      </gradient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patternFill patternType="solid">
        <fgColor theme="6" tint="0.59996337778862885"/>
        <bgColor auto="1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24994659260841701"/>
        <bgColor auto="1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patternFill patternType="solid">
        <fgColor theme="4" tint="0.79998168889431442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CC"/>
        <bgColor auto="1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auto="1"/>
      </patternFill>
    </fill>
  </fills>
  <borders count="2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/>
      <right style="thin">
        <color auto="1"/>
      </right>
      <top style="dashed">
        <color auto="1"/>
      </top>
      <bottom style="double">
        <color auto="1"/>
      </bottom>
      <diagonal/>
    </border>
    <border>
      <left/>
      <right/>
      <top style="dashed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ashed">
        <color auto="1"/>
      </top>
      <bottom/>
      <diagonal/>
    </border>
    <border>
      <left style="double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/>
      <right/>
      <top style="dashed">
        <color auto="1"/>
      </top>
      <bottom style="thick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ashed">
        <color auto="1"/>
      </bottom>
      <diagonal/>
    </border>
    <border>
      <left/>
      <right style="thin">
        <color auto="1"/>
      </right>
      <top style="double">
        <color auto="1"/>
      </top>
      <bottom style="dashed">
        <color auto="1"/>
      </bottom>
      <diagonal/>
    </border>
    <border>
      <left/>
      <right/>
      <top style="double">
        <color auto="1"/>
      </top>
      <bottom style="dashed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/>
      <right style="dashed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indexed="64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 style="medium">
        <color auto="1"/>
      </top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auto="1"/>
      </right>
      <top style="thin">
        <color rgb="FF00B050"/>
      </top>
      <bottom style="thin">
        <color rgb="FF00B050"/>
      </bottom>
      <diagonal/>
    </border>
    <border>
      <left style="thin">
        <color auto="1"/>
      </left>
      <right style="thin">
        <color auto="1"/>
      </right>
      <top style="thin">
        <color rgb="FF00B050"/>
      </top>
      <bottom style="thin">
        <color rgb="FF00B05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</borders>
  <cellStyleXfs count="9">
    <xf numFmtId="0" fontId="0" fillId="0" borderId="0"/>
    <xf numFmtId="168" fontId="5" fillId="0" borderId="0"/>
    <xf numFmtId="0" fontId="6" fillId="0" borderId="0"/>
    <xf numFmtId="167" fontId="6" fillId="0" borderId="0" applyFont="0" applyFill="0" applyBorder="0" applyAlignment="0" applyProtection="0"/>
    <xf numFmtId="168" fontId="9" fillId="0" borderId="0"/>
    <xf numFmtId="0" fontId="10" fillId="0" borderId="0">
      <alignment horizontal="center"/>
    </xf>
    <xf numFmtId="0" fontId="10" fillId="0" borderId="0">
      <alignment horizontal="center" textRotation="90"/>
    </xf>
    <xf numFmtId="0" fontId="11" fillId="0" borderId="0"/>
    <xf numFmtId="169" fontId="11" fillId="0" borderId="0"/>
  </cellStyleXfs>
  <cellXfs count="14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3" fillId="0" borderId="0" xfId="0" applyFont="1"/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/>
    <xf numFmtId="0" fontId="13" fillId="0" borderId="1" xfId="0" applyFont="1" applyBorder="1"/>
    <xf numFmtId="0" fontId="18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  <xf numFmtId="0" fontId="15" fillId="0" borderId="0" xfId="0" applyFont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Fill="1" applyProtection="1"/>
    <xf numFmtId="0" fontId="23" fillId="0" borderId="0" xfId="0" applyFont="1"/>
    <xf numFmtId="0" fontId="17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18" fillId="7" borderId="39" xfId="0" applyFont="1" applyFill="1" applyBorder="1"/>
    <xf numFmtId="0" fontId="18" fillId="7" borderId="40" xfId="0" applyFont="1" applyFill="1" applyBorder="1"/>
    <xf numFmtId="0" fontId="18" fillId="7" borderId="42" xfId="0" applyFont="1" applyFill="1" applyBorder="1"/>
    <xf numFmtId="0" fontId="18" fillId="7" borderId="0" xfId="0" applyFont="1" applyFill="1" applyBorder="1"/>
    <xf numFmtId="0" fontId="4" fillId="7" borderId="0" xfId="0" applyFont="1" applyFill="1" applyBorder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21" fillId="7" borderId="0" xfId="0" applyFont="1" applyFill="1" applyBorder="1"/>
    <xf numFmtId="0" fontId="20" fillId="7" borderId="0" xfId="0" applyFont="1" applyFill="1" applyBorder="1"/>
    <xf numFmtId="0" fontId="4" fillId="7" borderId="0" xfId="0" applyFont="1" applyFill="1" applyBorder="1"/>
    <xf numFmtId="0" fontId="18" fillId="7" borderId="0" xfId="0" applyFont="1" applyFill="1"/>
    <xf numFmtId="0" fontId="0" fillId="7" borderId="0" xfId="0" applyFill="1"/>
    <xf numFmtId="0" fontId="18" fillId="7" borderId="44" xfId="0" applyFont="1" applyFill="1" applyBorder="1"/>
    <xf numFmtId="0" fontId="18" fillId="7" borderId="45" xfId="0" applyFont="1" applyFill="1" applyBorder="1"/>
    <xf numFmtId="1" fontId="12" fillId="6" borderId="31" xfId="0" applyNumberFormat="1" applyFont="1" applyFill="1" applyBorder="1" applyAlignment="1">
      <alignment horizontal="center"/>
    </xf>
    <xf numFmtId="1" fontId="13" fillId="6" borderId="32" xfId="0" applyNumberFormat="1" applyFont="1" applyFill="1" applyBorder="1" applyAlignment="1">
      <alignment horizontal="center"/>
    </xf>
    <xf numFmtId="10" fontId="13" fillId="6" borderId="33" xfId="0" applyNumberFormat="1" applyFont="1" applyFill="1" applyBorder="1"/>
    <xf numFmtId="1" fontId="12" fillId="6" borderId="23" xfId="0" applyNumberFormat="1" applyFont="1" applyFill="1" applyBorder="1" applyAlignment="1">
      <alignment horizontal="center"/>
    </xf>
    <xf numFmtId="0" fontId="13" fillId="6" borderId="19" xfId="0" applyFont="1" applyFill="1" applyBorder="1" applyAlignment="1">
      <alignment horizontal="center"/>
    </xf>
    <xf numFmtId="0" fontId="13" fillId="6" borderId="15" xfId="0" applyFont="1" applyFill="1" applyBorder="1"/>
    <xf numFmtId="1" fontId="12" fillId="6" borderId="28" xfId="0" applyNumberFormat="1" applyFont="1" applyFill="1" applyBorder="1" applyAlignment="1">
      <alignment horizontal="center"/>
    </xf>
    <xf numFmtId="10" fontId="13" fillId="6" borderId="29" xfId="0" applyNumberFormat="1" applyFont="1" applyFill="1" applyBorder="1" applyAlignment="1">
      <alignment horizontal="center"/>
    </xf>
    <xf numFmtId="0" fontId="13" fillId="6" borderId="30" xfId="0" applyFont="1" applyFill="1" applyBorder="1"/>
    <xf numFmtId="1" fontId="19" fillId="6" borderId="10" xfId="0" applyNumberFormat="1" applyFont="1" applyFill="1" applyBorder="1" applyAlignment="1">
      <alignment horizontal="center"/>
    </xf>
    <xf numFmtId="14" fontId="12" fillId="6" borderId="12" xfId="0" applyNumberFormat="1" applyFont="1" applyFill="1" applyBorder="1" applyAlignment="1">
      <alignment horizontal="center"/>
    </xf>
    <xf numFmtId="14" fontId="12" fillId="6" borderId="11" xfId="0" applyNumberFormat="1" applyFont="1" applyFill="1" applyBorder="1" applyAlignment="1">
      <alignment horizontal="center"/>
    </xf>
    <xf numFmtId="1" fontId="12" fillId="6" borderId="10" xfId="0" applyNumberFormat="1" applyFont="1" applyFill="1" applyBorder="1" applyAlignment="1">
      <alignment horizontal="center"/>
    </xf>
    <xf numFmtId="0" fontId="13" fillId="8" borderId="15" xfId="0" applyFont="1" applyFill="1" applyBorder="1"/>
    <xf numFmtId="165" fontId="13" fillId="8" borderId="17" xfId="0" applyNumberFormat="1" applyFont="1" applyFill="1" applyBorder="1"/>
    <xf numFmtId="165" fontId="13" fillId="8" borderId="15" xfId="0" applyNumberFormat="1" applyFont="1" applyFill="1" applyBorder="1"/>
    <xf numFmtId="165" fontId="13" fillId="8" borderId="26" xfId="0" applyNumberFormat="1" applyFont="1" applyFill="1" applyBorder="1"/>
    <xf numFmtId="0" fontId="13" fillId="8" borderId="17" xfId="0" applyFont="1" applyFill="1" applyBorder="1"/>
    <xf numFmtId="0" fontId="13" fillId="8" borderId="26" xfId="0" applyFont="1" applyFill="1" applyBorder="1"/>
    <xf numFmtId="1" fontId="12" fillId="6" borderId="36" xfId="0" applyNumberFormat="1" applyFont="1" applyFill="1" applyBorder="1" applyAlignment="1">
      <alignment horizontal="center"/>
    </xf>
    <xf numFmtId="1" fontId="12" fillId="6" borderId="21" xfId="0" applyNumberFormat="1" applyFont="1" applyFill="1" applyBorder="1" applyAlignment="1">
      <alignment horizontal="center"/>
    </xf>
    <xf numFmtId="0" fontId="13" fillId="8" borderId="38" xfId="0" applyFont="1" applyFill="1" applyBorder="1"/>
    <xf numFmtId="0" fontId="2" fillId="0" borderId="0" xfId="0" applyFont="1"/>
    <xf numFmtId="0" fontId="0" fillId="0" borderId="0" xfId="0"/>
    <xf numFmtId="0" fontId="15" fillId="0" borderId="0" xfId="0" applyFont="1" applyFill="1" applyProtection="1"/>
    <xf numFmtId="0" fontId="8" fillId="0" borderId="0" xfId="0" applyFont="1"/>
    <xf numFmtId="1" fontId="12" fillId="6" borderId="15" xfId="0" applyNumberFormat="1" applyFont="1" applyFill="1" applyBorder="1" applyAlignment="1">
      <alignment horizontal="center"/>
    </xf>
    <xf numFmtId="1" fontId="12" fillId="6" borderId="30" xfId="0" applyNumberFormat="1" applyFont="1" applyFill="1" applyBorder="1" applyAlignment="1">
      <alignment horizontal="center"/>
    </xf>
    <xf numFmtId="1" fontId="13" fillId="6" borderId="33" xfId="0" applyNumberFormat="1" applyFont="1" applyFill="1" applyBorder="1" applyAlignment="1">
      <alignment horizontal="center"/>
    </xf>
    <xf numFmtId="14" fontId="19" fillId="6" borderId="40" xfId="0" applyNumberFormat="1" applyFont="1" applyFill="1" applyBorder="1" applyAlignment="1">
      <alignment horizontal="center"/>
    </xf>
    <xf numFmtId="0" fontId="15" fillId="0" borderId="0" xfId="0" applyFont="1" applyFill="1" applyProtection="1">
      <protection locked="0"/>
    </xf>
    <xf numFmtId="0" fontId="25" fillId="0" borderId="0" xfId="0" applyFont="1"/>
    <xf numFmtId="0" fontId="15" fillId="0" borderId="0" xfId="0" applyFont="1" applyFill="1" applyAlignment="1" applyProtection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Protection="1">
      <protection locked="0"/>
    </xf>
    <xf numFmtId="0" fontId="27" fillId="0" borderId="0" xfId="0" applyFont="1" applyFill="1" applyProtection="1">
      <protection locked="0"/>
    </xf>
    <xf numFmtId="0" fontId="7" fillId="11" borderId="0" xfId="0" applyFont="1" applyFill="1" applyBorder="1" applyAlignment="1" applyProtection="1">
      <alignment horizontal="left"/>
      <protection locked="0"/>
    </xf>
    <xf numFmtId="2" fontId="24" fillId="11" borderId="0" xfId="0" applyNumberFormat="1" applyFont="1" applyFill="1" applyBorder="1" applyAlignment="1" applyProtection="1">
      <alignment horizontal="center"/>
      <protection locked="0"/>
    </xf>
    <xf numFmtId="0" fontId="8" fillId="11" borderId="0" xfId="0" applyFont="1" applyFill="1" applyBorder="1"/>
    <xf numFmtId="0" fontId="25" fillId="11" borderId="0" xfId="0" applyFont="1" applyFill="1" applyBorder="1"/>
    <xf numFmtId="0" fontId="25" fillId="11" borderId="0" xfId="0" applyFont="1" applyFill="1" applyBorder="1" applyProtection="1">
      <protection locked="0"/>
    </xf>
    <xf numFmtId="0" fontId="8" fillId="11" borderId="14" xfId="0" applyFont="1" applyFill="1" applyBorder="1"/>
    <xf numFmtId="0" fontId="8" fillId="11" borderId="86" xfId="0" applyFont="1" applyFill="1" applyBorder="1"/>
    <xf numFmtId="0" fontId="8" fillId="11" borderId="8" xfId="0" applyFont="1" applyFill="1" applyBorder="1"/>
    <xf numFmtId="0" fontId="8" fillId="11" borderId="77" xfId="0" applyFont="1" applyFill="1" applyBorder="1"/>
    <xf numFmtId="0" fontId="25" fillId="11" borderId="8" xfId="0" applyFont="1" applyFill="1" applyBorder="1"/>
    <xf numFmtId="0" fontId="25" fillId="11" borderId="77" xfId="0" applyFont="1" applyFill="1" applyBorder="1"/>
    <xf numFmtId="0" fontId="8" fillId="11" borderId="48" xfId="0" applyFont="1" applyFill="1" applyBorder="1"/>
    <xf numFmtId="0" fontId="35" fillId="11" borderId="0" xfId="0" applyFont="1" applyFill="1" applyBorder="1"/>
    <xf numFmtId="0" fontId="0" fillId="7" borderId="0" xfId="0" applyFill="1" applyBorder="1" applyProtection="1"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9" xfId="0" applyFill="1" applyBorder="1" applyProtection="1">
      <protection locked="0"/>
    </xf>
    <xf numFmtId="0" fontId="2" fillId="0" borderId="0" xfId="0" applyFont="1" applyFill="1" applyProtection="1">
      <protection locked="0"/>
    </xf>
    <xf numFmtId="0" fontId="29" fillId="0" borderId="0" xfId="0" applyFont="1" applyFill="1" applyProtection="1">
      <protection locked="0"/>
    </xf>
    <xf numFmtId="0" fontId="29" fillId="7" borderId="8" xfId="0" applyFont="1" applyFill="1" applyBorder="1" applyProtection="1">
      <protection locked="0"/>
    </xf>
    <xf numFmtId="0" fontId="33" fillId="0" borderId="0" xfId="0" applyFont="1" applyFill="1" applyAlignment="1" applyProtection="1">
      <alignment horizontal="center"/>
      <protection locked="0"/>
    </xf>
    <xf numFmtId="0" fontId="33" fillId="7" borderId="8" xfId="0" applyFont="1" applyFill="1" applyBorder="1" applyAlignment="1" applyProtection="1">
      <alignment horizontal="center"/>
      <protection locked="0"/>
    </xf>
    <xf numFmtId="0" fontId="2" fillId="7" borderId="8" xfId="0" applyFont="1" applyFill="1" applyBorder="1" applyProtection="1">
      <protection locked="0"/>
    </xf>
    <xf numFmtId="0" fontId="23" fillId="0" borderId="0" xfId="0" applyNumberFormat="1" applyFont="1" applyProtection="1">
      <protection locked="0"/>
    </xf>
    <xf numFmtId="0" fontId="23" fillId="0" borderId="0" xfId="0" applyNumberFormat="1" applyFont="1" applyFill="1" applyProtection="1">
      <protection locked="0"/>
    </xf>
    <xf numFmtId="0" fontId="31" fillId="0" borderId="0" xfId="0" applyNumberFormat="1" applyFont="1" applyFill="1" applyProtection="1">
      <protection locked="0"/>
    </xf>
    <xf numFmtId="0" fontId="15" fillId="0" borderId="0" xfId="0" applyNumberFormat="1" applyFont="1" applyFill="1" applyProtection="1"/>
    <xf numFmtId="0" fontId="17" fillId="0" borderId="0" xfId="0" applyNumberFormat="1" applyFont="1" applyFill="1" applyProtection="1"/>
    <xf numFmtId="0" fontId="17" fillId="0" borderId="0" xfId="0" applyNumberFormat="1" applyFont="1" applyProtection="1"/>
    <xf numFmtId="0" fontId="17" fillId="0" borderId="0" xfId="0" applyNumberFormat="1" applyFont="1" applyProtection="1">
      <protection locked="0"/>
    </xf>
    <xf numFmtId="10" fontId="2" fillId="3" borderId="51" xfId="0" applyNumberFormat="1" applyFont="1" applyFill="1" applyBorder="1" applyAlignment="1" applyProtection="1">
      <alignment horizontal="center"/>
    </xf>
    <xf numFmtId="0" fontId="27" fillId="7" borderId="8" xfId="0" applyFont="1" applyFill="1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ill="1" applyProtection="1"/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center"/>
    </xf>
    <xf numFmtId="10" fontId="26" fillId="7" borderId="0" xfId="0" applyNumberFormat="1" applyFont="1" applyFill="1" applyBorder="1" applyAlignment="1" applyProtection="1">
      <alignment horizontal="left"/>
    </xf>
    <xf numFmtId="167" fontId="26" fillId="7" borderId="0" xfId="0" applyNumberFormat="1" applyFont="1" applyFill="1" applyBorder="1" applyAlignment="1" applyProtection="1">
      <alignment horizontal="center"/>
    </xf>
    <xf numFmtId="0" fontId="28" fillId="7" borderId="0" xfId="0" applyFont="1" applyFill="1" applyBorder="1" applyAlignment="1" applyProtection="1">
      <alignment horizontal="center"/>
    </xf>
    <xf numFmtId="0" fontId="28" fillId="7" borderId="0" xfId="0" applyFont="1" applyFill="1" applyBorder="1" applyProtection="1"/>
    <xf numFmtId="0" fontId="29" fillId="7" borderId="0" xfId="0" applyFont="1" applyFill="1" applyBorder="1" applyProtection="1"/>
    <xf numFmtId="14" fontId="34" fillId="14" borderId="0" xfId="0" applyNumberFormat="1" applyFont="1" applyFill="1" applyBorder="1" applyAlignment="1" applyProtection="1">
      <alignment horizontal="left"/>
    </xf>
    <xf numFmtId="0" fontId="29" fillId="14" borderId="0" xfId="0" applyFont="1" applyFill="1" applyBorder="1" applyProtection="1"/>
    <xf numFmtId="0" fontId="34" fillId="14" borderId="0" xfId="0" applyFont="1" applyFill="1" applyBorder="1" applyProtection="1"/>
    <xf numFmtId="0" fontId="34" fillId="14" borderId="0" xfId="0" applyFont="1" applyFill="1" applyBorder="1" applyAlignment="1" applyProtection="1">
      <alignment horizontal="center"/>
    </xf>
    <xf numFmtId="1" fontId="29" fillId="7" borderId="0" xfId="0" applyNumberFormat="1" applyFont="1" applyFill="1" applyBorder="1" applyProtection="1"/>
    <xf numFmtId="0" fontId="29" fillId="0" borderId="0" xfId="0" applyFont="1" applyFill="1" applyProtection="1"/>
    <xf numFmtId="0" fontId="30" fillId="7" borderId="0" xfId="0" applyFont="1" applyFill="1" applyBorder="1" applyProtection="1"/>
    <xf numFmtId="0" fontId="29" fillId="7" borderId="0" xfId="0" applyFont="1" applyFill="1" applyBorder="1" applyAlignment="1" applyProtection="1">
      <alignment horizontal="center"/>
    </xf>
    <xf numFmtId="0" fontId="33" fillId="10" borderId="85" xfId="0" applyFont="1" applyFill="1" applyBorder="1" applyAlignment="1" applyProtection="1">
      <alignment horizontal="center"/>
    </xf>
    <xf numFmtId="0" fontId="33" fillId="7" borderId="0" xfId="0" applyFont="1" applyFill="1" applyBorder="1" applyAlignment="1" applyProtection="1">
      <alignment horizontal="center"/>
    </xf>
    <xf numFmtId="0" fontId="33" fillId="7" borderId="0" xfId="0" applyFont="1" applyFill="1" applyBorder="1" applyAlignment="1" applyProtection="1"/>
    <xf numFmtId="0" fontId="33" fillId="0" borderId="0" xfId="0" applyFont="1" applyFill="1" applyAlignment="1" applyProtection="1">
      <alignment horizontal="center"/>
    </xf>
    <xf numFmtId="0" fontId="33" fillId="10" borderId="7" xfId="0" applyFont="1" applyFill="1" applyBorder="1" applyAlignment="1" applyProtection="1">
      <alignment horizontal="center"/>
    </xf>
    <xf numFmtId="0" fontId="33" fillId="10" borderId="105" xfId="0" applyFont="1" applyFill="1" applyBorder="1" applyAlignment="1" applyProtection="1">
      <alignment horizontal="center"/>
    </xf>
    <xf numFmtId="0" fontId="33" fillId="10" borderId="108" xfId="0" applyFont="1" applyFill="1" applyBorder="1" applyAlignment="1" applyProtection="1">
      <alignment horizontal="center"/>
    </xf>
    <xf numFmtId="0" fontId="33" fillId="10" borderId="125" xfId="0" applyFont="1" applyFill="1" applyBorder="1" applyAlignment="1" applyProtection="1">
      <alignment horizontal="center"/>
    </xf>
    <xf numFmtId="0" fontId="29" fillId="10" borderId="89" xfId="0" applyFont="1" applyFill="1" applyBorder="1" applyProtection="1"/>
    <xf numFmtId="0" fontId="29" fillId="10" borderId="89" xfId="0" applyFont="1" applyFill="1" applyBorder="1" applyAlignment="1" applyProtection="1">
      <alignment horizontal="center"/>
    </xf>
    <xf numFmtId="0" fontId="29" fillId="10" borderId="7" xfId="0" applyFont="1" applyFill="1" applyBorder="1" applyAlignment="1" applyProtection="1">
      <alignment horizontal="center"/>
    </xf>
    <xf numFmtId="0" fontId="29" fillId="10" borderId="6" xfId="0" applyFont="1" applyFill="1" applyBorder="1" applyProtection="1"/>
    <xf numFmtId="0" fontId="29" fillId="10" borderId="5" xfId="0" applyFont="1" applyFill="1" applyBorder="1" applyProtection="1"/>
    <xf numFmtId="1" fontId="2" fillId="9" borderId="57" xfId="0" applyNumberFormat="1" applyFont="1" applyFill="1" applyBorder="1" applyAlignment="1" applyProtection="1">
      <alignment horizontal="center"/>
    </xf>
    <xf numFmtId="14" fontId="2" fillId="3" borderId="88" xfId="0" applyNumberFormat="1" applyFont="1" applyFill="1" applyBorder="1" applyAlignment="1" applyProtection="1">
      <alignment horizontal="center"/>
    </xf>
    <xf numFmtId="10" fontId="2" fillId="3" borderId="88" xfId="0" applyNumberFormat="1" applyFont="1" applyFill="1" applyBorder="1" applyAlignment="1" applyProtection="1">
      <alignment horizontal="center"/>
    </xf>
    <xf numFmtId="167" fontId="2" fillId="7" borderId="0" xfId="0" applyNumberFormat="1" applyFont="1" applyFill="1" applyBorder="1" applyProtection="1"/>
    <xf numFmtId="10" fontId="2" fillId="7" borderId="0" xfId="0" applyNumberFormat="1" applyFont="1" applyFill="1" applyBorder="1" applyAlignment="1" applyProtection="1">
      <alignment horizontal="center"/>
    </xf>
    <xf numFmtId="0" fontId="2" fillId="7" borderId="0" xfId="0" applyFont="1" applyFill="1" applyBorder="1" applyProtection="1"/>
    <xf numFmtId="166" fontId="2" fillId="7" borderId="0" xfId="0" applyNumberFormat="1" applyFont="1" applyFill="1" applyBorder="1" applyProtection="1"/>
    <xf numFmtId="0" fontId="2" fillId="0" borderId="0" xfId="0" applyFont="1" applyFill="1" applyProtection="1"/>
    <xf numFmtId="1" fontId="2" fillId="9" borderId="62" xfId="0" applyNumberFormat="1" applyFont="1" applyFill="1" applyBorder="1" applyAlignment="1" applyProtection="1">
      <alignment horizontal="center"/>
    </xf>
    <xf numFmtId="14" fontId="2" fillId="3" borderId="75" xfId="0" applyNumberFormat="1" applyFont="1" applyFill="1" applyBorder="1" applyAlignment="1" applyProtection="1">
      <alignment horizontal="center"/>
    </xf>
    <xf numFmtId="10" fontId="2" fillId="3" borderId="75" xfId="0" applyNumberFormat="1" applyFont="1" applyFill="1" applyBorder="1" applyAlignment="1" applyProtection="1">
      <alignment horizontal="center"/>
    </xf>
    <xf numFmtId="10" fontId="2" fillId="3" borderId="110" xfId="0" applyNumberFormat="1" applyFont="1" applyFill="1" applyBorder="1" applyAlignment="1" applyProtection="1">
      <alignment horizontal="center"/>
    </xf>
    <xf numFmtId="0" fontId="33" fillId="7" borderId="0" xfId="0" applyFont="1" applyFill="1" applyBorder="1" applyProtection="1"/>
    <xf numFmtId="166" fontId="33" fillId="7" borderId="0" xfId="0" applyNumberFormat="1" applyFont="1" applyFill="1" applyBorder="1" applyProtection="1"/>
    <xf numFmtId="10" fontId="2" fillId="3" borderId="114" xfId="0" applyNumberFormat="1" applyFont="1" applyFill="1" applyBorder="1" applyAlignment="1" applyProtection="1">
      <alignment horizontal="center"/>
    </xf>
    <xf numFmtId="10" fontId="33" fillId="7" borderId="0" xfId="0" applyNumberFormat="1" applyFont="1" applyFill="1" applyBorder="1" applyAlignment="1" applyProtection="1">
      <alignment horizontal="right" indent="1"/>
    </xf>
    <xf numFmtId="10" fontId="2" fillId="7" borderId="0" xfId="0" applyNumberFormat="1" applyFont="1" applyFill="1" applyBorder="1" applyAlignment="1" applyProtection="1">
      <alignment horizontal="right" indent="1"/>
    </xf>
    <xf numFmtId="0" fontId="30" fillId="14" borderId="0" xfId="0" applyFont="1" applyFill="1" applyBorder="1" applyProtection="1"/>
    <xf numFmtId="0" fontId="33" fillId="11" borderId="0" xfId="0" applyFont="1" applyFill="1" applyBorder="1" applyProtection="1"/>
    <xf numFmtId="0" fontId="2" fillId="11" borderId="0" xfId="0" applyFont="1" applyFill="1" applyBorder="1" applyProtection="1"/>
    <xf numFmtId="0" fontId="2" fillId="11" borderId="0" xfId="0" applyFont="1" applyFill="1" applyBorder="1" applyAlignment="1" applyProtection="1">
      <alignment horizontal="center"/>
    </xf>
    <xf numFmtId="1" fontId="2" fillId="11" borderId="0" xfId="0" applyNumberFormat="1" applyFont="1" applyFill="1" applyBorder="1" applyProtection="1"/>
    <xf numFmtId="0" fontId="33" fillId="10" borderId="106" xfId="0" applyFont="1" applyFill="1" applyBorder="1" applyAlignment="1" applyProtection="1">
      <alignment horizontal="center"/>
    </xf>
    <xf numFmtId="0" fontId="33" fillId="10" borderId="107" xfId="0" applyFont="1" applyFill="1" applyBorder="1" applyAlignment="1" applyProtection="1">
      <alignment horizontal="center"/>
    </xf>
    <xf numFmtId="0" fontId="33" fillId="10" borderId="122" xfId="0" applyFont="1" applyFill="1" applyBorder="1" applyAlignment="1" applyProtection="1">
      <alignment horizontal="center"/>
    </xf>
    <xf numFmtId="0" fontId="29" fillId="10" borderId="8" xfId="0" applyFont="1" applyFill="1" applyBorder="1" applyAlignment="1" applyProtection="1">
      <alignment horizontal="center"/>
    </xf>
    <xf numFmtId="0" fontId="29" fillId="10" borderId="56" xfId="0" applyFont="1" applyFill="1" applyBorder="1" applyProtection="1"/>
    <xf numFmtId="0" fontId="30" fillId="10" borderId="48" xfId="0" applyFont="1" applyFill="1" applyBorder="1" applyProtection="1"/>
    <xf numFmtId="14" fontId="2" fillId="3" borderId="57" xfId="0" applyNumberFormat="1" applyFont="1" applyFill="1" applyBorder="1" applyAlignment="1" applyProtection="1">
      <alignment horizontal="center"/>
    </xf>
    <xf numFmtId="10" fontId="2" fillId="3" borderId="57" xfId="0" applyNumberFormat="1" applyFont="1" applyFill="1" applyBorder="1" applyAlignment="1" applyProtection="1">
      <alignment horizontal="center"/>
    </xf>
    <xf numFmtId="0" fontId="2" fillId="9" borderId="75" xfId="0" applyFont="1" applyFill="1" applyBorder="1" applyAlignment="1" applyProtection="1">
      <alignment horizontal="center"/>
    </xf>
    <xf numFmtId="10" fontId="2" fillId="3" borderId="53" xfId="0" applyNumberFormat="1" applyFont="1" applyFill="1" applyBorder="1" applyAlignment="1" applyProtection="1">
      <alignment horizontal="center"/>
    </xf>
    <xf numFmtId="14" fontId="2" fillId="11" borderId="0" xfId="0" applyNumberFormat="1" applyFont="1" applyFill="1" applyBorder="1" applyAlignment="1" applyProtection="1">
      <alignment horizontal="center"/>
    </xf>
    <xf numFmtId="10" fontId="2" fillId="11" borderId="0" xfId="0" applyNumberFormat="1" applyFont="1" applyFill="1" applyBorder="1" applyAlignment="1" applyProtection="1">
      <alignment horizontal="center"/>
    </xf>
    <xf numFmtId="0" fontId="0" fillId="7" borderId="0" xfId="0" applyFill="1" applyBorder="1"/>
    <xf numFmtId="0" fontId="40" fillId="0" borderId="0" xfId="0" applyFont="1"/>
    <xf numFmtId="0" fontId="41" fillId="0" borderId="0" xfId="0" applyFont="1" applyBorder="1" applyAlignment="1">
      <alignment horizontal="center"/>
    </xf>
    <xf numFmtId="0" fontId="0" fillId="7" borderId="40" xfId="0" applyFill="1" applyBorder="1"/>
    <xf numFmtId="0" fontId="0" fillId="7" borderId="41" xfId="0" applyFill="1" applyBorder="1"/>
    <xf numFmtId="0" fontId="0" fillId="7" borderId="43" xfId="0" applyFill="1" applyBorder="1"/>
    <xf numFmtId="0" fontId="0" fillId="7" borderId="45" xfId="0" applyFill="1" applyBorder="1"/>
    <xf numFmtId="0" fontId="0" fillId="7" borderId="46" xfId="0" applyFill="1" applyBorder="1"/>
    <xf numFmtId="1" fontId="23" fillId="0" borderId="0" xfId="0" applyNumberFormat="1" applyFont="1" applyFill="1" applyProtection="1">
      <protection locked="0"/>
    </xf>
    <xf numFmtId="0" fontId="49" fillId="0" borderId="0" xfId="0" applyNumberFormat="1" applyFont="1" applyFill="1" applyProtection="1">
      <protection locked="0"/>
    </xf>
    <xf numFmtId="0" fontId="51" fillId="0" borderId="0" xfId="0" applyNumberFormat="1" applyFont="1" applyFill="1" applyAlignment="1" applyProtection="1">
      <alignment horizontal="center"/>
      <protection locked="0"/>
    </xf>
    <xf numFmtId="0" fontId="50" fillId="0" borderId="0" xfId="0" applyNumberFormat="1" applyFont="1" applyFill="1" applyBorder="1" applyAlignment="1" applyProtection="1">
      <alignment horizontal="center"/>
      <protection locked="0"/>
    </xf>
    <xf numFmtId="0" fontId="50" fillId="0" borderId="0" xfId="1" applyNumberFormat="1" applyFont="1" applyFill="1" applyBorder="1" applyAlignment="1" applyProtection="1">
      <alignment horizontal="center"/>
    </xf>
    <xf numFmtId="1" fontId="50" fillId="0" borderId="0" xfId="1" applyNumberFormat="1" applyFont="1" applyFill="1" applyBorder="1" applyAlignment="1" applyProtection="1">
      <alignment horizontal="center"/>
    </xf>
    <xf numFmtId="0" fontId="0" fillId="7" borderId="10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86" xfId="0" applyFill="1" applyBorder="1" applyProtection="1">
      <protection locked="0"/>
    </xf>
    <xf numFmtId="0" fontId="0" fillId="7" borderId="8" xfId="0" applyFill="1" applyBorder="1" applyProtection="1">
      <protection locked="0"/>
    </xf>
    <xf numFmtId="0" fontId="0" fillId="7" borderId="77" xfId="0" applyFill="1" applyBorder="1" applyProtection="1">
      <protection locked="0"/>
    </xf>
    <xf numFmtId="14" fontId="32" fillId="14" borderId="0" xfId="0" applyNumberFormat="1" applyFont="1" applyFill="1" applyBorder="1" applyProtection="1"/>
    <xf numFmtId="0" fontId="32" fillId="14" borderId="0" xfId="0" applyFont="1" applyFill="1" applyBorder="1" applyProtection="1"/>
    <xf numFmtId="0" fontId="0" fillId="7" borderId="103" xfId="0" applyFill="1" applyBorder="1" applyProtection="1"/>
    <xf numFmtId="0" fontId="0" fillId="7" borderId="14" xfId="0" applyFill="1" applyBorder="1" applyProtection="1"/>
    <xf numFmtId="0" fontId="0" fillId="7" borderId="14" xfId="0" applyFill="1" applyBorder="1" applyAlignment="1" applyProtection="1">
      <alignment horizontal="center"/>
    </xf>
    <xf numFmtId="0" fontId="0" fillId="7" borderId="86" xfId="0" applyFill="1" applyBorder="1" applyProtection="1"/>
    <xf numFmtId="0" fontId="0" fillId="7" borderId="8" xfId="0" applyFill="1" applyBorder="1" applyProtection="1"/>
    <xf numFmtId="0" fontId="0" fillId="7" borderId="77" xfId="0" applyFill="1" applyBorder="1" applyProtection="1"/>
    <xf numFmtId="0" fontId="29" fillId="7" borderId="8" xfId="0" applyFont="1" applyFill="1" applyBorder="1" applyProtection="1"/>
    <xf numFmtId="0" fontId="29" fillId="7" borderId="77" xfId="0" applyFont="1" applyFill="1" applyBorder="1" applyProtection="1"/>
    <xf numFmtId="0" fontId="2" fillId="7" borderId="8" xfId="0" applyFont="1" applyFill="1" applyBorder="1" applyProtection="1"/>
    <xf numFmtId="0" fontId="2" fillId="11" borderId="77" xfId="0" applyFont="1" applyFill="1" applyBorder="1" applyProtection="1"/>
    <xf numFmtId="0" fontId="33" fillId="7" borderId="8" xfId="0" applyFont="1" applyFill="1" applyBorder="1" applyAlignment="1" applyProtection="1">
      <alignment horizontal="center"/>
    </xf>
    <xf numFmtId="0" fontId="33" fillId="7" borderId="77" xfId="0" applyFont="1" applyFill="1" applyBorder="1" applyAlignment="1" applyProtection="1">
      <alignment horizontal="center"/>
    </xf>
    <xf numFmtId="0" fontId="2" fillId="7" borderId="77" xfId="0" applyFont="1" applyFill="1" applyBorder="1" applyProtection="1"/>
    <xf numFmtId="0" fontId="34" fillId="7" borderId="0" xfId="0" applyFont="1" applyFill="1" applyBorder="1" applyProtection="1"/>
    <xf numFmtId="0" fontId="29" fillId="7" borderId="20" xfId="0" applyFont="1" applyFill="1" applyBorder="1" applyProtection="1"/>
    <xf numFmtId="0" fontId="29" fillId="11" borderId="48" xfId="0" applyFont="1" applyFill="1" applyBorder="1" applyProtection="1"/>
    <xf numFmtId="0" fontId="30" fillId="11" borderId="48" xfId="0" applyFont="1" applyFill="1" applyBorder="1" applyProtection="1"/>
    <xf numFmtId="0" fontId="29" fillId="11" borderId="48" xfId="0" applyFont="1" applyFill="1" applyBorder="1" applyAlignment="1" applyProtection="1">
      <alignment horizontal="center"/>
    </xf>
    <xf numFmtId="1" fontId="29" fillId="11" borderId="48" xfId="0" applyNumberFormat="1" applyFont="1" applyFill="1" applyBorder="1" applyProtection="1"/>
    <xf numFmtId="0" fontId="29" fillId="11" borderId="54" xfId="0" applyFont="1" applyFill="1" applyBorder="1" applyProtection="1"/>
    <xf numFmtId="0" fontId="23" fillId="0" borderId="0" xfId="0" applyFont="1" applyProtection="1"/>
    <xf numFmtId="0" fontId="23" fillId="0" borderId="0" xfId="0" applyFont="1" applyFill="1" applyProtection="1"/>
    <xf numFmtId="0" fontId="17" fillId="0" borderId="0" xfId="0" applyFont="1" applyProtection="1"/>
    <xf numFmtId="0" fontId="17" fillId="0" borderId="0" xfId="0" applyFont="1" applyProtection="1">
      <protection locked="0"/>
    </xf>
    <xf numFmtId="0" fontId="23" fillId="0" borderId="0" xfId="0" applyFont="1" applyProtection="1">
      <protection locked="0"/>
    </xf>
    <xf numFmtId="0" fontId="17" fillId="0" borderId="0" xfId="0" applyFont="1"/>
    <xf numFmtId="1" fontId="1" fillId="7" borderId="0" xfId="0" applyNumberFormat="1" applyFont="1" applyFill="1" applyAlignment="1">
      <alignment horizontal="center"/>
    </xf>
    <xf numFmtId="0" fontId="1" fillId="7" borderId="0" xfId="0" applyFont="1" applyFill="1" applyAlignment="1">
      <alignment horizontal="center"/>
    </xf>
    <xf numFmtId="1" fontId="1" fillId="7" borderId="0" xfId="0" applyNumberFormat="1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1" fontId="12" fillId="7" borderId="13" xfId="0" applyNumberFormat="1" applyFont="1" applyFill="1" applyBorder="1" applyAlignment="1">
      <alignment horizontal="center"/>
    </xf>
    <xf numFmtId="0" fontId="12" fillId="7" borderId="0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1" fontId="16" fillId="7" borderId="2" xfId="0" applyNumberFormat="1" applyFont="1" applyFill="1" applyBorder="1" applyAlignment="1">
      <alignment horizontal="center"/>
    </xf>
    <xf numFmtId="9" fontId="13" fillId="7" borderId="0" xfId="0" applyNumberFormat="1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1" fontId="12" fillId="7" borderId="2" xfId="0" applyNumberFormat="1" applyFont="1" applyFill="1" applyBorder="1" applyAlignment="1">
      <alignment horizontal="center"/>
    </xf>
    <xf numFmtId="165" fontId="13" fillId="7" borderId="0" xfId="0" applyNumberFormat="1" applyFont="1" applyFill="1" applyBorder="1" applyAlignment="1">
      <alignment horizontal="center"/>
    </xf>
    <xf numFmtId="0" fontId="13" fillId="11" borderId="103" xfId="0" applyFont="1" applyFill="1" applyBorder="1" applyAlignment="1" applyProtection="1">
      <alignment horizontal="right"/>
    </xf>
    <xf numFmtId="0" fontId="13" fillId="11" borderId="14" xfId="0" applyFont="1" applyFill="1" applyBorder="1" applyProtection="1"/>
    <xf numFmtId="0" fontId="40" fillId="3" borderId="0" xfId="0" applyFont="1" applyFill="1" applyAlignment="1">
      <alignment horizontal="center"/>
    </xf>
    <xf numFmtId="1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NumberFormat="1" applyFont="1" applyAlignment="1">
      <alignment horizontal="center"/>
    </xf>
    <xf numFmtId="0" fontId="56" fillId="0" borderId="0" xfId="0" applyFont="1" applyFill="1" applyAlignment="1">
      <alignment horizontal="center"/>
    </xf>
    <xf numFmtId="2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right"/>
    </xf>
    <xf numFmtId="0" fontId="57" fillId="0" borderId="0" xfId="0" applyFont="1" applyBorder="1" applyAlignment="1">
      <alignment horizontal="left"/>
    </xf>
    <xf numFmtId="0" fontId="57" fillId="0" borderId="0" xfId="0" applyFont="1" applyBorder="1" applyAlignment="1">
      <alignment horizontal="center"/>
    </xf>
    <xf numFmtId="1" fontId="42" fillId="0" borderId="31" xfId="0" applyNumberFormat="1" applyFont="1" applyFill="1" applyBorder="1" applyAlignment="1">
      <alignment horizontal="center"/>
    </xf>
    <xf numFmtId="0" fontId="40" fillId="0" borderId="33" xfId="0" applyFont="1" applyBorder="1"/>
    <xf numFmtId="0" fontId="40" fillId="0" borderId="33" xfId="0" applyFont="1" applyBorder="1" applyAlignment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/>
    </xf>
    <xf numFmtId="10" fontId="42" fillId="0" borderId="0" xfId="0" applyNumberFormat="1" applyFont="1" applyBorder="1" applyAlignment="1">
      <alignment horizontal="center" shrinkToFit="1"/>
    </xf>
    <xf numFmtId="14" fontId="42" fillId="0" borderId="23" xfId="0" applyNumberFormat="1" applyFont="1" applyBorder="1" applyAlignment="1">
      <alignment horizontal="center" shrinkToFit="1"/>
    </xf>
    <xf numFmtId="0" fontId="40" fillId="0" borderId="15" xfId="0" applyFont="1" applyBorder="1"/>
    <xf numFmtId="1" fontId="40" fillId="0" borderId="15" xfId="0" applyNumberFormat="1" applyFont="1" applyBorder="1" applyAlignment="1">
      <alignment horizontal="center"/>
    </xf>
    <xf numFmtId="0" fontId="40" fillId="0" borderId="15" xfId="0" applyFont="1" applyBorder="1" applyAlignment="1">
      <alignment horizontal="center"/>
    </xf>
    <xf numFmtId="1" fontId="42" fillId="0" borderId="47" xfId="1" applyNumberFormat="1" applyFont="1" applyFill="1" applyBorder="1" applyAlignment="1">
      <alignment horizontal="center"/>
    </xf>
    <xf numFmtId="14" fontId="56" fillId="0" borderId="20" xfId="1" applyNumberFormat="1" applyFont="1" applyFill="1" applyBorder="1" applyAlignment="1">
      <alignment horizontal="left"/>
    </xf>
    <xf numFmtId="1" fontId="40" fillId="0" borderId="48" xfId="0" applyNumberFormat="1" applyFont="1" applyBorder="1" applyAlignment="1">
      <alignment horizontal="center"/>
    </xf>
    <xf numFmtId="14" fontId="40" fillId="0" borderId="48" xfId="0" applyNumberFormat="1" applyFont="1" applyBorder="1" applyAlignment="1">
      <alignment horizontal="center"/>
    </xf>
    <xf numFmtId="14" fontId="40" fillId="0" borderId="2" xfId="0" applyNumberFormat="1" applyFont="1" applyFill="1" applyBorder="1" applyAlignment="1">
      <alignment horizontal="center"/>
    </xf>
    <xf numFmtId="14" fontId="58" fillId="0" borderId="0" xfId="1" applyNumberFormat="1" applyFont="1" applyFill="1" applyAlignment="1">
      <alignment horizontal="center"/>
    </xf>
    <xf numFmtId="1" fontId="42" fillId="4" borderId="23" xfId="0" applyNumberFormat="1" applyFont="1" applyFill="1" applyBorder="1" applyAlignment="1">
      <alignment horizontal="center"/>
    </xf>
    <xf numFmtId="0" fontId="40" fillId="4" borderId="15" xfId="0" applyFont="1" applyFill="1" applyBorder="1"/>
    <xf numFmtId="0" fontId="40" fillId="4" borderId="15" xfId="0" applyFont="1" applyFill="1" applyBorder="1" applyAlignment="1">
      <alignment horizontal="center"/>
    </xf>
    <xf numFmtId="1" fontId="42" fillId="15" borderId="23" xfId="0" applyNumberFormat="1" applyFont="1" applyFill="1" applyBorder="1" applyAlignment="1">
      <alignment horizontal="center"/>
    </xf>
    <xf numFmtId="0" fontId="40" fillId="15" borderId="15" xfId="0" applyFont="1" applyFill="1" applyBorder="1"/>
    <xf numFmtId="0" fontId="40" fillId="15" borderId="15" xfId="0" applyFont="1" applyFill="1" applyBorder="1" applyAlignment="1">
      <alignment horizontal="center"/>
    </xf>
    <xf numFmtId="1" fontId="42" fillId="5" borderId="23" xfId="0" applyNumberFormat="1" applyFont="1" applyFill="1" applyBorder="1" applyAlignment="1">
      <alignment horizontal="center"/>
    </xf>
    <xf numFmtId="0" fontId="40" fillId="5" borderId="15" xfId="0" applyFont="1" applyFill="1" applyBorder="1"/>
    <xf numFmtId="0" fontId="40" fillId="5" borderId="15" xfId="0" applyFont="1" applyFill="1" applyBorder="1" applyAlignment="1">
      <alignment horizontal="center"/>
    </xf>
    <xf numFmtId="1" fontId="42" fillId="0" borderId="23" xfId="0" applyNumberFormat="1" applyFont="1" applyBorder="1" applyAlignment="1">
      <alignment horizontal="center"/>
    </xf>
    <xf numFmtId="1" fontId="42" fillId="0" borderId="27" xfId="0" applyNumberFormat="1" applyFont="1" applyBorder="1" applyAlignment="1">
      <alignment horizontal="center"/>
    </xf>
    <xf numFmtId="0" fontId="40" fillId="0" borderId="38" xfId="0" applyFont="1" applyBorder="1"/>
    <xf numFmtId="0" fontId="40" fillId="0" borderId="38" xfId="0" applyFont="1" applyBorder="1" applyAlignment="1">
      <alignment horizontal="center"/>
    </xf>
    <xf numFmtId="1" fontId="42" fillId="0" borderId="34" xfId="0" applyNumberFormat="1" applyFont="1" applyFill="1" applyBorder="1" applyAlignment="1">
      <alignment horizontal="center"/>
    </xf>
    <xf numFmtId="0" fontId="40" fillId="0" borderId="17" xfId="0" applyFont="1" applyBorder="1"/>
    <xf numFmtId="0" fontId="40" fillId="0" borderId="17" xfId="0" applyFont="1" applyBorder="1" applyAlignment="1">
      <alignment horizontal="center"/>
    </xf>
    <xf numFmtId="1" fontId="42" fillId="0" borderId="24" xfId="0" applyNumberFormat="1" applyFont="1" applyFill="1" applyBorder="1" applyAlignment="1">
      <alignment horizontal="center"/>
    </xf>
    <xf numFmtId="0" fontId="40" fillId="0" borderId="26" xfId="0" applyFont="1" applyBorder="1"/>
    <xf numFmtId="0" fontId="40" fillId="0" borderId="26" xfId="0" applyFont="1" applyBorder="1" applyAlignment="1">
      <alignment horizontal="center"/>
    </xf>
    <xf numFmtId="0" fontId="40" fillId="2" borderId="0" xfId="0" applyFont="1" applyFill="1"/>
    <xf numFmtId="1" fontId="40" fillId="2" borderId="0" xfId="0" applyNumberFormat="1" applyFont="1" applyFill="1" applyAlignment="1">
      <alignment horizontal="center"/>
    </xf>
    <xf numFmtId="0" fontId="40" fillId="2" borderId="0" xfId="0" applyFont="1" applyFill="1" applyAlignment="1">
      <alignment horizontal="center"/>
    </xf>
    <xf numFmtId="0" fontId="40" fillId="2" borderId="0" xfId="0" applyNumberFormat="1" applyFont="1" applyFill="1" applyAlignment="1">
      <alignment horizontal="center"/>
    </xf>
    <xf numFmtId="0" fontId="56" fillId="2" borderId="0" xfId="0" applyFont="1" applyFill="1" applyAlignment="1">
      <alignment horizontal="center"/>
    </xf>
    <xf numFmtId="2" fontId="40" fillId="2" borderId="0" xfId="0" applyNumberFormat="1" applyFont="1" applyFill="1" applyAlignment="1">
      <alignment horizontal="center"/>
    </xf>
    <xf numFmtId="1" fontId="57" fillId="0" borderId="0" xfId="0" applyNumberFormat="1" applyFont="1" applyAlignment="1">
      <alignment horizontal="left"/>
    </xf>
    <xf numFmtId="14" fontId="40" fillId="3" borderId="0" xfId="0" applyNumberFormat="1" applyFont="1" applyFill="1" applyAlignment="1">
      <alignment horizontal="center"/>
    </xf>
    <xf numFmtId="49" fontId="40" fillId="0" borderId="0" xfId="0" applyNumberFormat="1" applyFont="1" applyAlignment="1">
      <alignment horizontal="center"/>
    </xf>
    <xf numFmtId="0" fontId="41" fillId="12" borderId="0" xfId="0" applyFont="1" applyFill="1" applyAlignment="1">
      <alignment horizontal="center"/>
    </xf>
    <xf numFmtId="0" fontId="40" fillId="0" borderId="0" xfId="0" applyFont="1" applyAlignment="1">
      <alignment horizontal="left"/>
    </xf>
    <xf numFmtId="1" fontId="40" fillId="10" borderId="83" xfId="0" applyNumberFormat="1" applyFont="1" applyFill="1" applyBorder="1" applyAlignment="1">
      <alignment horizontal="center"/>
    </xf>
    <xf numFmtId="0" fontId="40" fillId="0" borderId="140" xfId="0" applyFont="1" applyBorder="1" applyAlignment="1">
      <alignment horizontal="center"/>
    </xf>
    <xf numFmtId="0" fontId="40" fillId="0" borderId="84" xfId="0" applyFont="1" applyBorder="1" applyAlignment="1">
      <alignment horizontal="center"/>
    </xf>
    <xf numFmtId="1" fontId="40" fillId="10" borderId="99" xfId="0" applyNumberFormat="1" applyFont="1" applyFill="1" applyBorder="1" applyAlignment="1">
      <alignment horizontal="center"/>
    </xf>
    <xf numFmtId="0" fontId="40" fillId="0" borderId="100" xfId="0" applyFont="1" applyBorder="1" applyAlignment="1">
      <alignment horizontal="center"/>
    </xf>
    <xf numFmtId="1" fontId="40" fillId="10" borderId="50" xfId="0" applyNumberFormat="1" applyFont="1" applyFill="1" applyBorder="1" applyAlignment="1">
      <alignment horizontal="center"/>
    </xf>
    <xf numFmtId="0" fontId="40" fillId="0" borderId="58" xfId="0" applyFont="1" applyBorder="1" applyAlignment="1">
      <alignment horizontal="center"/>
    </xf>
    <xf numFmtId="1" fontId="40" fillId="10" borderId="60" xfId="0" applyNumberFormat="1" applyFont="1" applyFill="1" applyBorder="1" applyAlignment="1">
      <alignment horizontal="center"/>
    </xf>
    <xf numFmtId="0" fontId="40" fillId="0" borderId="63" xfId="0" applyFont="1" applyBorder="1" applyAlignment="1">
      <alignment horizontal="center"/>
    </xf>
    <xf numFmtId="1" fontId="40" fillId="10" borderId="95" xfId="0" applyNumberFormat="1" applyFont="1" applyFill="1" applyBorder="1" applyAlignment="1">
      <alignment horizontal="center"/>
    </xf>
    <xf numFmtId="1" fontId="40" fillId="10" borderId="79" xfId="0" applyNumberFormat="1" applyFont="1" applyFill="1" applyBorder="1" applyAlignment="1">
      <alignment horizontal="center"/>
    </xf>
    <xf numFmtId="0" fontId="40" fillId="0" borderId="80" xfId="0" applyFont="1" applyBorder="1" applyAlignment="1">
      <alignment horizontal="center"/>
    </xf>
    <xf numFmtId="1" fontId="40" fillId="0" borderId="6" xfId="0" applyNumberFormat="1" applyFont="1" applyBorder="1" applyAlignment="1">
      <alignment horizontal="center"/>
    </xf>
    <xf numFmtId="0" fontId="40" fillId="0" borderId="4" xfId="0" applyFont="1" applyBorder="1" applyAlignment="1">
      <alignment horizontal="center"/>
    </xf>
    <xf numFmtId="0" fontId="40" fillId="0" borderId="5" xfId="0" applyFont="1" applyBorder="1" applyAlignment="1">
      <alignment horizontal="center"/>
    </xf>
    <xf numFmtId="1" fontId="40" fillId="0" borderId="99" xfId="0" applyNumberFormat="1" applyFont="1" applyBorder="1" applyAlignment="1">
      <alignment horizontal="center"/>
    </xf>
    <xf numFmtId="0" fontId="40" fillId="0" borderId="101" xfId="0" applyFont="1" applyBorder="1" applyAlignment="1">
      <alignment horizontal="center"/>
    </xf>
    <xf numFmtId="1" fontId="40" fillId="0" borderId="50" xfId="0" applyNumberFormat="1" applyFont="1" applyBorder="1" applyAlignment="1">
      <alignment horizontal="center"/>
    </xf>
    <xf numFmtId="0" fontId="40" fillId="0" borderId="51" xfId="0" applyFont="1" applyBorder="1" applyAlignment="1">
      <alignment horizontal="center"/>
    </xf>
    <xf numFmtId="0" fontId="40" fillId="0" borderId="80" xfId="0" applyFont="1" applyFill="1" applyBorder="1" applyAlignment="1">
      <alignment horizontal="center"/>
    </xf>
    <xf numFmtId="0" fontId="40" fillId="0" borderId="81" xfId="0" applyFont="1" applyBorder="1" applyAlignment="1">
      <alignment horizontal="center"/>
    </xf>
    <xf numFmtId="0" fontId="40" fillId="0" borderId="61" xfId="0" applyFont="1" applyBorder="1" applyAlignment="1">
      <alignment horizontal="center"/>
    </xf>
    <xf numFmtId="0" fontId="40" fillId="0" borderId="119" xfId="0" applyFont="1" applyBorder="1" applyAlignment="1">
      <alignment horizontal="center"/>
    </xf>
    <xf numFmtId="0" fontId="40" fillId="0" borderId="117" xfId="0" applyFont="1" applyBorder="1" applyAlignment="1">
      <alignment horizontal="center"/>
    </xf>
    <xf numFmtId="1" fontId="40" fillId="0" borderId="0" xfId="0" applyNumberFormat="1" applyFont="1" applyAlignment="1">
      <alignment horizontal="right"/>
    </xf>
    <xf numFmtId="1" fontId="40" fillId="0" borderId="0" xfId="0" applyNumberFormat="1" applyFont="1" applyAlignment="1">
      <alignment horizontal="left"/>
    </xf>
    <xf numFmtId="2" fontId="40" fillId="0" borderId="0" xfId="0" applyNumberFormat="1" applyFont="1" applyAlignment="1">
      <alignment horizontal="left"/>
    </xf>
    <xf numFmtId="167" fontId="56" fillId="0" borderId="0" xfId="0" applyNumberFormat="1" applyFont="1" applyFill="1" applyBorder="1" applyAlignment="1" applyProtection="1">
      <alignment horizontal="center"/>
      <protection locked="0"/>
    </xf>
    <xf numFmtId="1" fontId="40" fillId="9" borderId="8" xfId="0" applyNumberFormat="1" applyFont="1" applyFill="1" applyBorder="1" applyAlignment="1">
      <alignment horizontal="center"/>
    </xf>
    <xf numFmtId="0" fontId="40" fillId="13" borderId="88" xfId="0" applyFont="1" applyFill="1" applyBorder="1" applyAlignment="1">
      <alignment horizontal="left"/>
    </xf>
    <xf numFmtId="1" fontId="40" fillId="0" borderId="8" xfId="0" applyNumberFormat="1" applyFont="1" applyBorder="1" applyAlignment="1">
      <alignment horizontal="center"/>
    </xf>
    <xf numFmtId="0" fontId="40" fillId="13" borderId="62" xfId="0" applyFont="1" applyFill="1" applyBorder="1" applyAlignment="1">
      <alignment horizontal="left"/>
    </xf>
    <xf numFmtId="0" fontId="40" fillId="10" borderId="98" xfId="0" applyFont="1" applyFill="1" applyBorder="1" applyAlignment="1">
      <alignment horizontal="left"/>
    </xf>
    <xf numFmtId="0" fontId="40" fillId="10" borderId="57" xfId="0" applyFont="1" applyFill="1" applyBorder="1" applyAlignment="1">
      <alignment horizontal="left"/>
    </xf>
    <xf numFmtId="0" fontId="40" fillId="10" borderId="75" xfId="0" applyFont="1" applyFill="1" applyBorder="1" applyAlignment="1">
      <alignment horizontal="left"/>
    </xf>
    <xf numFmtId="1" fontId="56" fillId="0" borderId="0" xfId="0" applyNumberFormat="1" applyFont="1" applyFill="1" applyAlignment="1">
      <alignment horizontal="center"/>
    </xf>
    <xf numFmtId="14" fontId="40" fillId="0" borderId="0" xfId="0" applyNumberFormat="1" applyFont="1" applyAlignment="1">
      <alignment horizontal="center"/>
    </xf>
    <xf numFmtId="14" fontId="56" fillId="0" borderId="0" xfId="0" applyNumberFormat="1" applyFont="1" applyFill="1" applyBorder="1" applyAlignment="1" applyProtection="1">
      <alignment horizontal="center"/>
      <protection locked="0"/>
    </xf>
    <xf numFmtId="1" fontId="40" fillId="16" borderId="48" xfId="0" applyNumberFormat="1" applyFont="1" applyFill="1" applyBorder="1" applyAlignment="1">
      <alignment horizontal="center"/>
    </xf>
    <xf numFmtId="0" fontId="40" fillId="16" borderId="0" xfId="0" applyFont="1" applyFill="1" applyAlignment="1">
      <alignment horizontal="center"/>
    </xf>
    <xf numFmtId="0" fontId="40" fillId="16" borderId="0" xfId="0" applyNumberFormat="1" applyFont="1" applyFill="1" applyAlignment="1">
      <alignment horizontal="center"/>
    </xf>
    <xf numFmtId="0" fontId="56" fillId="16" borderId="0" xfId="0" applyFont="1" applyFill="1" applyAlignment="1">
      <alignment horizontal="center"/>
    </xf>
    <xf numFmtId="2" fontId="40" fillId="16" borderId="0" xfId="0" applyNumberFormat="1" applyFont="1" applyFill="1" applyAlignment="1">
      <alignment horizontal="center"/>
    </xf>
    <xf numFmtId="1" fontId="57" fillId="16" borderId="0" xfId="0" applyNumberFormat="1" applyFont="1" applyFill="1" applyAlignment="1">
      <alignment horizontal="left"/>
    </xf>
    <xf numFmtId="0" fontId="41" fillId="16" borderId="0" xfId="0" applyFont="1" applyFill="1" applyAlignment="1">
      <alignment horizontal="left"/>
    </xf>
    <xf numFmtId="0" fontId="40" fillId="0" borderId="149" xfId="0" applyFont="1" applyBorder="1" applyAlignment="1">
      <alignment horizontal="left" indent="1"/>
    </xf>
    <xf numFmtId="0" fontId="40" fillId="0" borderId="73" xfId="0" applyFont="1" applyBorder="1" applyAlignment="1">
      <alignment horizontal="left" indent="1"/>
    </xf>
    <xf numFmtId="0" fontId="40" fillId="0" borderId="92" xfId="0" applyFont="1" applyBorder="1" applyAlignment="1">
      <alignment horizontal="left" indent="1"/>
    </xf>
    <xf numFmtId="0" fontId="40" fillId="0" borderId="82" xfId="0" applyFont="1" applyBorder="1" applyAlignment="1">
      <alignment horizontal="left" indent="1"/>
    </xf>
    <xf numFmtId="0" fontId="40" fillId="0" borderId="142" xfId="0" applyFont="1" applyBorder="1" applyAlignment="1">
      <alignment horizontal="left" indent="1"/>
    </xf>
    <xf numFmtId="0" fontId="40" fillId="0" borderId="129" xfId="0" applyFont="1" applyBorder="1" applyAlignment="1">
      <alignment horizontal="center"/>
    </xf>
    <xf numFmtId="0" fontId="40" fillId="0" borderId="90" xfId="0" applyFont="1" applyBorder="1" applyAlignment="1">
      <alignment horizontal="center"/>
    </xf>
    <xf numFmtId="0" fontId="40" fillId="0" borderId="102" xfId="0" applyFont="1" applyBorder="1" applyAlignment="1">
      <alignment horizontal="center"/>
    </xf>
    <xf numFmtId="0" fontId="40" fillId="0" borderId="130" xfId="0" applyFont="1" applyBorder="1" applyAlignment="1">
      <alignment horizontal="center"/>
    </xf>
    <xf numFmtId="0" fontId="40" fillId="0" borderId="120" xfId="0" applyFont="1" applyBorder="1" applyAlignment="1">
      <alignment horizontal="center"/>
    </xf>
    <xf numFmtId="0" fontId="40" fillId="7" borderId="139" xfId="0" applyFont="1" applyFill="1" applyBorder="1" applyAlignment="1">
      <alignment horizontal="left" indent="1"/>
    </xf>
    <xf numFmtId="0" fontId="40" fillId="7" borderId="141" xfId="0" applyFont="1" applyFill="1" applyBorder="1" applyAlignment="1">
      <alignment horizontal="center"/>
    </xf>
    <xf numFmtId="0" fontId="40" fillId="7" borderId="149" xfId="0" applyFont="1" applyFill="1" applyBorder="1" applyAlignment="1">
      <alignment horizontal="left" indent="1"/>
    </xf>
    <xf numFmtId="0" fontId="40" fillId="7" borderId="129" xfId="0" applyFont="1" applyFill="1" applyBorder="1" applyAlignment="1">
      <alignment horizontal="center"/>
    </xf>
    <xf numFmtId="0" fontId="40" fillId="7" borderId="73" xfId="0" applyFont="1" applyFill="1" applyBorder="1" applyAlignment="1">
      <alignment horizontal="left" indent="1"/>
    </xf>
    <xf numFmtId="0" fontId="40" fillId="7" borderId="90" xfId="0" applyFont="1" applyFill="1" applyBorder="1" applyAlignment="1">
      <alignment horizontal="center"/>
    </xf>
    <xf numFmtId="0" fontId="40" fillId="7" borderId="102" xfId="0" applyFont="1" applyFill="1" applyBorder="1" applyAlignment="1">
      <alignment horizontal="center"/>
    </xf>
    <xf numFmtId="0" fontId="40" fillId="7" borderId="150" xfId="0" applyFont="1" applyFill="1" applyBorder="1" applyAlignment="1">
      <alignment horizontal="left" indent="1"/>
    </xf>
    <xf numFmtId="0" fontId="40" fillId="7" borderId="138" xfId="0" applyFont="1" applyFill="1" applyBorder="1" applyAlignment="1">
      <alignment horizontal="center"/>
    </xf>
    <xf numFmtId="0" fontId="40" fillId="7" borderId="92" xfId="0" applyFont="1" applyFill="1" applyBorder="1" applyAlignment="1">
      <alignment horizontal="left" indent="1"/>
    </xf>
    <xf numFmtId="0" fontId="40" fillId="7" borderId="130" xfId="0" applyFont="1" applyFill="1" applyBorder="1" applyAlignment="1">
      <alignment horizontal="center"/>
    </xf>
    <xf numFmtId="0" fontId="40" fillId="0" borderId="125" xfId="0" applyFont="1" applyBorder="1" applyAlignment="1">
      <alignment horizontal="left" indent="1"/>
    </xf>
    <xf numFmtId="0" fontId="40" fillId="0" borderId="126" xfId="0" applyFont="1" applyBorder="1" applyAlignment="1">
      <alignment horizontal="center"/>
    </xf>
    <xf numFmtId="0" fontId="46" fillId="0" borderId="0" xfId="0" applyFont="1" applyProtection="1">
      <protection hidden="1"/>
    </xf>
    <xf numFmtId="0" fontId="46" fillId="0" borderId="0" xfId="0" applyFont="1" applyFill="1" applyProtection="1">
      <protection hidden="1"/>
    </xf>
    <xf numFmtId="0" fontId="55" fillId="0" borderId="0" xfId="0" applyFont="1" applyProtection="1">
      <protection hidden="1"/>
    </xf>
    <xf numFmtId="0" fontId="47" fillId="0" borderId="0" xfId="0" applyFont="1" applyProtection="1">
      <protection hidden="1"/>
    </xf>
    <xf numFmtId="0" fontId="47" fillId="7" borderId="14" xfId="0" applyFont="1" applyFill="1" applyBorder="1" applyProtection="1">
      <protection hidden="1"/>
    </xf>
    <xf numFmtId="1" fontId="47" fillId="7" borderId="14" xfId="0" applyNumberFormat="1" applyFont="1" applyFill="1" applyBorder="1" applyAlignment="1" applyProtection="1">
      <alignment horizontal="center"/>
      <protection hidden="1"/>
    </xf>
    <xf numFmtId="14" fontId="47" fillId="7" borderId="14" xfId="0" applyNumberFormat="1" applyFont="1" applyFill="1" applyBorder="1" applyAlignment="1" applyProtection="1">
      <alignment horizontal="center"/>
      <protection hidden="1"/>
    </xf>
    <xf numFmtId="0" fontId="47" fillId="7" borderId="14" xfId="0" applyFont="1" applyFill="1" applyBorder="1" applyAlignment="1" applyProtection="1">
      <alignment horizontal="center"/>
      <protection hidden="1"/>
    </xf>
    <xf numFmtId="0" fontId="47" fillId="7" borderId="14" xfId="0" applyNumberFormat="1" applyFont="1" applyFill="1" applyBorder="1" applyAlignment="1" applyProtection="1">
      <alignment horizontal="center"/>
      <protection hidden="1"/>
    </xf>
    <xf numFmtId="0" fontId="46" fillId="7" borderId="14" xfId="0" applyFont="1" applyFill="1" applyBorder="1" applyProtection="1">
      <protection hidden="1"/>
    </xf>
    <xf numFmtId="0" fontId="55" fillId="7" borderId="14" xfId="0" applyFont="1" applyFill="1" applyBorder="1" applyProtection="1">
      <protection hidden="1"/>
    </xf>
    <xf numFmtId="0" fontId="46" fillId="7" borderId="86" xfId="0" applyFont="1" applyFill="1" applyBorder="1" applyProtection="1">
      <protection hidden="1"/>
    </xf>
    <xf numFmtId="0" fontId="47" fillId="7" borderId="0" xfId="0" applyFont="1" applyFill="1" applyBorder="1" applyProtection="1">
      <protection hidden="1"/>
    </xf>
    <xf numFmtId="1" fontId="47" fillId="7" borderId="0" xfId="0" applyNumberFormat="1" applyFont="1" applyFill="1" applyBorder="1" applyAlignment="1" applyProtection="1">
      <alignment horizontal="center"/>
      <protection hidden="1"/>
    </xf>
    <xf numFmtId="14" fontId="47" fillId="7" borderId="0" xfId="0" applyNumberFormat="1" applyFont="1" applyFill="1" applyBorder="1" applyAlignment="1" applyProtection="1">
      <alignment horizontal="center"/>
      <protection hidden="1"/>
    </xf>
    <xf numFmtId="0" fontId="47" fillId="7" borderId="0" xfId="0" applyFont="1" applyFill="1" applyBorder="1" applyAlignment="1" applyProtection="1">
      <alignment horizontal="center"/>
      <protection hidden="1"/>
    </xf>
    <xf numFmtId="0" fontId="47" fillId="7" borderId="0" xfId="0" applyNumberFormat="1" applyFont="1" applyFill="1" applyBorder="1" applyAlignment="1" applyProtection="1">
      <alignment horizontal="center"/>
      <protection hidden="1"/>
    </xf>
    <xf numFmtId="0" fontId="46" fillId="7" borderId="0" xfId="0" applyFont="1" applyFill="1" applyBorder="1" applyProtection="1">
      <protection hidden="1"/>
    </xf>
    <xf numFmtId="0" fontId="55" fillId="7" borderId="0" xfId="0" applyFont="1" applyFill="1" applyBorder="1" applyProtection="1">
      <protection hidden="1"/>
    </xf>
    <xf numFmtId="0" fontId="46" fillId="7" borderId="77" xfId="0" applyFont="1" applyFill="1" applyBorder="1" applyProtection="1">
      <protection hidden="1"/>
    </xf>
    <xf numFmtId="0" fontId="46" fillId="7" borderId="0" xfId="0" applyFont="1" applyFill="1" applyBorder="1" applyAlignment="1" applyProtection="1">
      <alignment horizontal="center"/>
      <protection hidden="1"/>
    </xf>
    <xf numFmtId="10" fontId="52" fillId="7" borderId="0" xfId="0" applyNumberFormat="1" applyFont="1" applyFill="1" applyBorder="1" applyAlignment="1" applyProtection="1">
      <protection hidden="1"/>
    </xf>
    <xf numFmtId="10" fontId="52" fillId="7" borderId="0" xfId="0" applyNumberFormat="1" applyFont="1" applyFill="1" applyBorder="1" applyAlignment="1" applyProtection="1">
      <alignment horizontal="center"/>
      <protection hidden="1"/>
    </xf>
    <xf numFmtId="0" fontId="55" fillId="7" borderId="0" xfId="0" applyFont="1" applyFill="1" applyBorder="1" applyAlignment="1" applyProtection="1">
      <alignment horizontal="center"/>
      <protection hidden="1"/>
    </xf>
    <xf numFmtId="0" fontId="46" fillId="7" borderId="77" xfId="0" applyFont="1" applyFill="1" applyBorder="1" applyAlignment="1" applyProtection="1">
      <alignment horizontal="center"/>
      <protection hidden="1"/>
    </xf>
    <xf numFmtId="1" fontId="53" fillId="7" borderId="0" xfId="1" applyNumberFormat="1" applyFont="1" applyFill="1" applyBorder="1" applyAlignment="1" applyProtection="1">
      <alignment horizontal="left"/>
      <protection hidden="1"/>
    </xf>
    <xf numFmtId="0" fontId="53" fillId="7" borderId="0" xfId="0" applyFont="1" applyFill="1" applyBorder="1" applyAlignment="1" applyProtection="1">
      <alignment horizontal="center"/>
      <protection hidden="1"/>
    </xf>
    <xf numFmtId="1" fontId="53" fillId="7" borderId="0" xfId="0" applyNumberFormat="1" applyFont="1" applyFill="1" applyBorder="1" applyProtection="1">
      <protection hidden="1"/>
    </xf>
    <xf numFmtId="14" fontId="53" fillId="7" borderId="0" xfId="0" applyNumberFormat="1" applyFont="1" applyFill="1" applyBorder="1" applyAlignment="1" applyProtection="1">
      <alignment horizontal="left"/>
      <protection hidden="1"/>
    </xf>
    <xf numFmtId="14" fontId="53" fillId="7" borderId="0" xfId="0" applyNumberFormat="1" applyFont="1" applyFill="1" applyBorder="1" applyAlignment="1" applyProtection="1">
      <alignment horizontal="center"/>
      <protection hidden="1"/>
    </xf>
    <xf numFmtId="0" fontId="53" fillId="7" borderId="0" xfId="0" applyFont="1" applyFill="1" applyBorder="1" applyProtection="1">
      <protection hidden="1"/>
    </xf>
    <xf numFmtId="1" fontId="53" fillId="7" borderId="0" xfId="0" applyNumberFormat="1" applyFont="1" applyFill="1" applyBorder="1" applyAlignment="1" applyProtection="1">
      <alignment horizontal="center"/>
      <protection hidden="1"/>
    </xf>
    <xf numFmtId="14" fontId="43" fillId="7" borderId="2" xfId="1" applyNumberFormat="1" applyFont="1" applyFill="1" applyBorder="1" applyAlignment="1" applyProtection="1">
      <alignment horizontal="center"/>
      <protection hidden="1"/>
    </xf>
    <xf numFmtId="0" fontId="46" fillId="0" borderId="0" xfId="0" applyFont="1" applyFill="1" applyAlignment="1" applyProtection="1">
      <alignment horizontal="center"/>
      <protection hidden="1"/>
    </xf>
    <xf numFmtId="10" fontId="46" fillId="7" borderId="0" xfId="0" applyNumberFormat="1" applyFont="1" applyFill="1" applyBorder="1" applyAlignment="1" applyProtection="1">
      <alignment horizontal="center"/>
      <protection hidden="1"/>
    </xf>
    <xf numFmtId="14" fontId="43" fillId="7" borderId="0" xfId="0" applyNumberFormat="1" applyFont="1" applyFill="1" applyBorder="1" applyAlignment="1" applyProtection="1">
      <alignment horizontal="left"/>
      <protection hidden="1"/>
    </xf>
    <xf numFmtId="0" fontId="46" fillId="7" borderId="48" xfId="0" applyFont="1" applyFill="1" applyBorder="1" applyProtection="1">
      <protection hidden="1"/>
    </xf>
    <xf numFmtId="0" fontId="46" fillId="7" borderId="54" xfId="0" applyFont="1" applyFill="1" applyBorder="1" applyProtection="1">
      <protection hidden="1"/>
    </xf>
    <xf numFmtId="1" fontId="47" fillId="0" borderId="0" xfId="0" applyNumberFormat="1" applyFont="1" applyAlignment="1" applyProtection="1">
      <alignment horizontal="center"/>
      <protection hidden="1"/>
    </xf>
    <xf numFmtId="0" fontId="47" fillId="0" borderId="0" xfId="0" applyFont="1" applyAlignment="1" applyProtection="1">
      <alignment horizontal="center"/>
      <protection hidden="1"/>
    </xf>
    <xf numFmtId="0" fontId="47" fillId="0" borderId="0" xfId="0" applyNumberFormat="1" applyFont="1" applyAlignment="1" applyProtection="1">
      <alignment horizontal="center"/>
      <protection hidden="1"/>
    </xf>
    <xf numFmtId="0" fontId="40" fillId="13" borderId="79" xfId="0" applyFont="1" applyFill="1" applyBorder="1" applyAlignment="1">
      <alignment horizontal="center"/>
    </xf>
    <xf numFmtId="0" fontId="40" fillId="13" borderId="50" xfId="0" applyFont="1" applyFill="1" applyBorder="1" applyAlignment="1">
      <alignment horizontal="center"/>
    </xf>
    <xf numFmtId="0" fontId="40" fillId="13" borderId="52" xfId="0" applyFont="1" applyFill="1" applyBorder="1" applyAlignment="1">
      <alignment horizontal="center"/>
    </xf>
    <xf numFmtId="0" fontId="40" fillId="11" borderId="81" xfId="0" applyFont="1" applyFill="1" applyBorder="1" applyAlignment="1">
      <alignment horizontal="center"/>
    </xf>
    <xf numFmtId="0" fontId="40" fillId="11" borderId="51" xfId="0" applyFont="1" applyFill="1" applyBorder="1" applyAlignment="1">
      <alignment horizontal="center"/>
    </xf>
    <xf numFmtId="0" fontId="40" fillId="11" borderId="53" xfId="0" applyFont="1" applyFill="1" applyBorder="1" applyAlignment="1">
      <alignment horizontal="center"/>
    </xf>
    <xf numFmtId="0" fontId="40" fillId="18" borderId="100" xfId="0" applyFont="1" applyFill="1" applyBorder="1" applyAlignment="1">
      <alignment horizontal="center"/>
    </xf>
    <xf numFmtId="0" fontId="40" fillId="18" borderId="101" xfId="0" applyFont="1" applyFill="1" applyBorder="1" applyAlignment="1">
      <alignment horizontal="center"/>
    </xf>
    <xf numFmtId="0" fontId="40" fillId="18" borderId="58" xfId="0" applyFont="1" applyFill="1" applyBorder="1" applyAlignment="1">
      <alignment horizontal="center"/>
    </xf>
    <xf numFmtId="0" fontId="40" fillId="18" borderId="51" xfId="0" applyFont="1" applyFill="1" applyBorder="1" applyAlignment="1">
      <alignment horizontal="center"/>
    </xf>
    <xf numFmtId="0" fontId="40" fillId="18" borderId="63" xfId="0" applyFont="1" applyFill="1" applyBorder="1" applyAlignment="1">
      <alignment horizontal="center"/>
    </xf>
    <xf numFmtId="0" fontId="40" fillId="18" borderId="61" xfId="0" applyFont="1" applyFill="1" applyBorder="1" applyAlignment="1">
      <alignment horizontal="center"/>
    </xf>
    <xf numFmtId="0" fontId="40" fillId="18" borderId="96" xfId="0" applyFont="1" applyFill="1" applyBorder="1" applyAlignment="1">
      <alignment horizontal="center"/>
    </xf>
    <xf numFmtId="0" fontId="40" fillId="18" borderId="97" xfId="0" applyFont="1" applyFill="1" applyBorder="1" applyAlignment="1">
      <alignment horizontal="center"/>
    </xf>
    <xf numFmtId="0" fontId="40" fillId="18" borderId="80" xfId="0" applyFont="1" applyFill="1" applyBorder="1" applyAlignment="1">
      <alignment horizontal="center"/>
    </xf>
    <xf numFmtId="0" fontId="40" fillId="18" borderId="71" xfId="0" applyFont="1" applyFill="1" applyBorder="1" applyAlignment="1">
      <alignment horizontal="center"/>
    </xf>
    <xf numFmtId="0" fontId="40" fillId="18" borderId="72" xfId="0" applyFont="1" applyFill="1" applyBorder="1" applyAlignment="1">
      <alignment horizontal="center"/>
    </xf>
    <xf numFmtId="1" fontId="56" fillId="18" borderId="72" xfId="0" applyNumberFormat="1" applyFont="1" applyFill="1" applyBorder="1" applyAlignment="1">
      <alignment horizontal="center"/>
    </xf>
    <xf numFmtId="1" fontId="40" fillId="18" borderId="72" xfId="0" applyNumberFormat="1" applyFont="1" applyFill="1" applyBorder="1" applyAlignment="1">
      <alignment horizontal="center"/>
    </xf>
    <xf numFmtId="1" fontId="40" fillId="18" borderId="68" xfId="0" applyNumberFormat="1" applyFont="1" applyFill="1" applyBorder="1" applyAlignment="1">
      <alignment horizontal="center"/>
    </xf>
    <xf numFmtId="0" fontId="40" fillId="18" borderId="60" xfId="0" applyFont="1" applyFill="1" applyBorder="1" applyAlignment="1">
      <alignment horizontal="center"/>
    </xf>
    <xf numFmtId="1" fontId="56" fillId="18" borderId="63" xfId="0" applyNumberFormat="1" applyFont="1" applyFill="1" applyBorder="1" applyAlignment="1">
      <alignment horizontal="center"/>
    </xf>
    <xf numFmtId="1" fontId="40" fillId="18" borderId="63" xfId="0" applyNumberFormat="1" applyFont="1" applyFill="1" applyBorder="1" applyAlignment="1">
      <alignment horizontal="center"/>
    </xf>
    <xf numFmtId="1" fontId="40" fillId="18" borderId="61" xfId="0" applyNumberFormat="1" applyFont="1" applyFill="1" applyBorder="1" applyAlignment="1">
      <alignment horizontal="center"/>
    </xf>
    <xf numFmtId="0" fontId="40" fillId="18" borderId="99" xfId="0" applyFont="1" applyFill="1" applyBorder="1" applyAlignment="1">
      <alignment horizontal="center"/>
    </xf>
    <xf numFmtId="1" fontId="56" fillId="18" borderId="100" xfId="0" applyNumberFormat="1" applyFont="1" applyFill="1" applyBorder="1" applyAlignment="1">
      <alignment horizontal="center"/>
    </xf>
    <xf numFmtId="1" fontId="40" fillId="18" borderId="100" xfId="0" applyNumberFormat="1" applyFont="1" applyFill="1" applyBorder="1" applyAlignment="1">
      <alignment horizontal="center"/>
    </xf>
    <xf numFmtId="1" fontId="40" fillId="18" borderId="101" xfId="0" applyNumberFormat="1" applyFont="1" applyFill="1" applyBorder="1" applyAlignment="1">
      <alignment horizontal="center"/>
    </xf>
    <xf numFmtId="0" fontId="40" fillId="18" borderId="50" xfId="0" applyFont="1" applyFill="1" applyBorder="1" applyAlignment="1">
      <alignment horizontal="center"/>
    </xf>
    <xf numFmtId="1" fontId="56" fillId="18" borderId="58" xfId="0" applyNumberFormat="1" applyFont="1" applyFill="1" applyBorder="1" applyAlignment="1">
      <alignment horizontal="center"/>
    </xf>
    <xf numFmtId="1" fontId="40" fillId="18" borderId="58" xfId="0" applyNumberFormat="1" applyFont="1" applyFill="1" applyBorder="1" applyAlignment="1">
      <alignment horizontal="center"/>
    </xf>
    <xf numFmtId="1" fontId="40" fillId="18" borderId="51" xfId="0" applyNumberFormat="1" applyFont="1" applyFill="1" applyBorder="1" applyAlignment="1">
      <alignment horizontal="center"/>
    </xf>
    <xf numFmtId="0" fontId="40" fillId="18" borderId="52" xfId="0" applyFont="1" applyFill="1" applyBorder="1" applyAlignment="1">
      <alignment horizontal="center"/>
    </xf>
    <xf numFmtId="0" fontId="40" fillId="18" borderId="74" xfId="0" applyFont="1" applyFill="1" applyBorder="1" applyAlignment="1">
      <alignment horizontal="center"/>
    </xf>
    <xf numFmtId="1" fontId="56" fillId="18" borderId="74" xfId="0" applyNumberFormat="1" applyFont="1" applyFill="1" applyBorder="1" applyAlignment="1">
      <alignment horizontal="center"/>
    </xf>
    <xf numFmtId="1" fontId="40" fillId="18" borderId="74" xfId="0" applyNumberFormat="1" applyFont="1" applyFill="1" applyBorder="1" applyAlignment="1">
      <alignment horizontal="center"/>
    </xf>
    <xf numFmtId="1" fontId="40" fillId="18" borderId="53" xfId="0" applyNumberFormat="1" applyFont="1" applyFill="1" applyBorder="1" applyAlignment="1">
      <alignment horizontal="center"/>
    </xf>
    <xf numFmtId="0" fontId="44" fillId="7" borderId="0" xfId="0" applyFont="1" applyFill="1" applyBorder="1"/>
    <xf numFmtId="1" fontId="40" fillId="3" borderId="0" xfId="0" applyNumberFormat="1" applyFont="1" applyFill="1" applyAlignment="1" applyProtection="1">
      <alignment horizontal="center"/>
      <protection locked="0"/>
    </xf>
    <xf numFmtId="1" fontId="40" fillId="0" borderId="52" xfId="0" applyNumberFormat="1" applyFont="1" applyBorder="1" applyAlignment="1">
      <alignment horizontal="center"/>
    </xf>
    <xf numFmtId="1" fontId="60" fillId="7" borderId="0" xfId="0" applyNumberFormat="1" applyFont="1" applyFill="1" applyBorder="1" applyAlignment="1">
      <alignment horizontal="center"/>
    </xf>
    <xf numFmtId="10" fontId="13" fillId="6" borderId="157" xfId="0" applyNumberFormat="1" applyFont="1" applyFill="1" applyBorder="1" applyAlignment="1">
      <alignment horizontal="center"/>
    </xf>
    <xf numFmtId="0" fontId="1" fillId="7" borderId="20" xfId="0" applyFont="1" applyFill="1" applyBorder="1" applyProtection="1"/>
    <xf numFmtId="0" fontId="13" fillId="6" borderId="34" xfId="0" applyFont="1" applyFill="1" applyBorder="1" applyAlignment="1">
      <alignment horizontal="left" indent="2"/>
    </xf>
    <xf numFmtId="0" fontId="13" fillId="6" borderId="23" xfId="0" applyFont="1" applyFill="1" applyBorder="1" applyAlignment="1">
      <alignment horizontal="left" indent="2"/>
    </xf>
    <xf numFmtId="0" fontId="13" fillId="6" borderId="27" xfId="0" applyFont="1" applyFill="1" applyBorder="1" applyAlignment="1">
      <alignment horizontal="left" indent="2"/>
    </xf>
    <xf numFmtId="0" fontId="13" fillId="6" borderId="24" xfId="0" applyFont="1" applyFill="1" applyBorder="1" applyAlignment="1">
      <alignment horizontal="left" indent="2"/>
    </xf>
    <xf numFmtId="1" fontId="13" fillId="6" borderId="34" xfId="0" applyNumberFormat="1" applyFont="1" applyFill="1" applyBorder="1" applyAlignment="1">
      <alignment horizontal="center"/>
    </xf>
    <xf numFmtId="1" fontId="13" fillId="6" borderId="23" xfId="0" applyNumberFormat="1" applyFont="1" applyFill="1" applyBorder="1" applyAlignment="1">
      <alignment horizontal="center"/>
    </xf>
    <xf numFmtId="14" fontId="0" fillId="7" borderId="0" xfId="0" applyNumberFormat="1" applyFill="1" applyBorder="1"/>
    <xf numFmtId="0" fontId="59" fillId="7" borderId="0" xfId="0" applyFont="1" applyFill="1" applyBorder="1" applyProtection="1">
      <protection locked="0"/>
    </xf>
    <xf numFmtId="0" fontId="14" fillId="11" borderId="0" xfId="0" applyFont="1" applyFill="1" applyBorder="1" applyProtection="1">
      <protection hidden="1"/>
    </xf>
    <xf numFmtId="14" fontId="53" fillId="7" borderId="0" xfId="1" applyNumberFormat="1" applyFont="1" applyFill="1" applyBorder="1" applyAlignment="1" applyProtection="1">
      <alignment horizontal="left"/>
      <protection hidden="1"/>
    </xf>
    <xf numFmtId="0" fontId="44" fillId="12" borderId="0" xfId="0" applyFont="1" applyFill="1" applyBorder="1"/>
    <xf numFmtId="0" fontId="15" fillId="0" borderId="14" xfId="0" applyFont="1" applyFill="1" applyBorder="1" applyProtection="1">
      <protection locked="0"/>
    </xf>
    <xf numFmtId="0" fontId="15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horizontal="center"/>
    </xf>
    <xf numFmtId="10" fontId="2" fillId="3" borderId="121" xfId="0" applyNumberFormat="1" applyFont="1" applyFill="1" applyBorder="1" applyAlignment="1" applyProtection="1">
      <alignment horizontal="center"/>
    </xf>
    <xf numFmtId="10" fontId="2" fillId="3" borderId="117" xfId="0" applyNumberFormat="1" applyFont="1" applyFill="1" applyBorder="1" applyAlignment="1" applyProtection="1">
      <alignment horizontal="center"/>
    </xf>
    <xf numFmtId="14" fontId="2" fillId="3" borderId="79" xfId="0" applyNumberFormat="1" applyFont="1" applyFill="1" applyBorder="1" applyAlignment="1" applyProtection="1">
      <alignment horizontal="center"/>
      <protection hidden="1"/>
    </xf>
    <xf numFmtId="14" fontId="2" fillId="3" borderId="68" xfId="0" applyNumberFormat="1" applyFont="1" applyFill="1" applyBorder="1" applyAlignment="1" applyProtection="1">
      <alignment horizontal="center" shrinkToFit="1"/>
      <protection hidden="1"/>
    </xf>
    <xf numFmtId="14" fontId="2" fillId="3" borderId="50" xfId="0" applyNumberFormat="1" applyFont="1" applyFill="1" applyBorder="1" applyAlignment="1" applyProtection="1">
      <alignment horizontal="center"/>
      <protection hidden="1"/>
    </xf>
    <xf numFmtId="14" fontId="2" fillId="3" borderId="51" xfId="0" applyNumberFormat="1" applyFont="1" applyFill="1" applyBorder="1" applyAlignment="1" applyProtection="1">
      <alignment horizontal="center" shrinkToFit="1"/>
      <protection hidden="1"/>
    </xf>
    <xf numFmtId="14" fontId="2" fillId="3" borderId="52" xfId="0" applyNumberFormat="1" applyFont="1" applyFill="1" applyBorder="1" applyAlignment="1" applyProtection="1">
      <alignment horizontal="center"/>
      <protection hidden="1"/>
    </xf>
    <xf numFmtId="172" fontId="2" fillId="3" borderId="59" xfId="0" applyNumberFormat="1" applyFont="1" applyFill="1" applyBorder="1" applyProtection="1"/>
    <xf numFmtId="172" fontId="2" fillId="3" borderId="69" xfId="0" applyNumberFormat="1" applyFont="1" applyFill="1" applyBorder="1" applyProtection="1"/>
    <xf numFmtId="172" fontId="2" fillId="3" borderId="52" xfId="0" applyNumberFormat="1" applyFont="1" applyFill="1" applyBorder="1" applyAlignment="1" applyProtection="1">
      <alignment horizontal="right"/>
    </xf>
    <xf numFmtId="172" fontId="2" fillId="3" borderId="53" xfId="0" applyNumberFormat="1" applyFont="1" applyFill="1" applyBorder="1" applyAlignment="1" applyProtection="1">
      <alignment horizontal="right"/>
    </xf>
    <xf numFmtId="172" fontId="2" fillId="3" borderId="75" xfId="0" applyNumberFormat="1" applyFont="1" applyFill="1" applyBorder="1" applyAlignment="1" applyProtection="1">
      <alignment horizontal="right"/>
    </xf>
    <xf numFmtId="14" fontId="44" fillId="12" borderId="0" xfId="0" applyNumberFormat="1" applyFont="1" applyFill="1" applyBorder="1" applyProtection="1">
      <protection hidden="1"/>
    </xf>
    <xf numFmtId="0" fontId="44" fillId="12" borderId="0" xfId="0" applyFont="1" applyFill="1" applyBorder="1" applyProtection="1">
      <protection hidden="1"/>
    </xf>
    <xf numFmtId="0" fontId="0" fillId="7" borderId="0" xfId="0" applyFill="1" applyBorder="1" applyProtection="1">
      <protection hidden="1"/>
    </xf>
    <xf numFmtId="0" fontId="0" fillId="7" borderId="0" xfId="0" applyFill="1" applyBorder="1" applyAlignment="1" applyProtection="1">
      <alignment horizontal="center"/>
      <protection hidden="1"/>
    </xf>
    <xf numFmtId="0" fontId="27" fillId="7" borderId="0" xfId="0" applyFont="1" applyFill="1" applyBorder="1" applyProtection="1">
      <protection hidden="1"/>
    </xf>
    <xf numFmtId="10" fontId="26" fillId="7" borderId="0" xfId="0" applyNumberFormat="1" applyFont="1" applyFill="1" applyBorder="1" applyAlignment="1" applyProtection="1">
      <alignment horizontal="left"/>
      <protection hidden="1"/>
    </xf>
    <xf numFmtId="167" fontId="26" fillId="7" borderId="0" xfId="0" applyNumberFormat="1" applyFont="1" applyFill="1" applyBorder="1" applyAlignment="1" applyProtection="1">
      <alignment horizontal="center"/>
      <protection hidden="1"/>
    </xf>
    <xf numFmtId="0" fontId="28" fillId="7" borderId="0" xfId="0" applyFont="1" applyFill="1" applyBorder="1" applyAlignment="1" applyProtection="1">
      <alignment horizontal="center"/>
      <protection hidden="1"/>
    </xf>
    <xf numFmtId="0" fontId="28" fillId="7" borderId="0" xfId="0" applyFont="1" applyFill="1" applyBorder="1" applyProtection="1">
      <protection hidden="1"/>
    </xf>
    <xf numFmtId="0" fontId="29" fillId="7" borderId="0" xfId="0" applyFont="1" applyFill="1" applyBorder="1" applyProtection="1">
      <protection hidden="1"/>
    </xf>
    <xf numFmtId="14" fontId="34" fillId="14" borderId="0" xfId="0" applyNumberFormat="1" applyFont="1" applyFill="1" applyBorder="1" applyAlignment="1" applyProtection="1">
      <alignment horizontal="left"/>
      <protection hidden="1"/>
    </xf>
    <xf numFmtId="0" fontId="29" fillId="14" borderId="0" xfId="0" applyFont="1" applyFill="1" applyBorder="1" applyProtection="1">
      <protection hidden="1"/>
    </xf>
    <xf numFmtId="0" fontId="34" fillId="14" borderId="0" xfId="0" applyFont="1" applyFill="1" applyBorder="1" applyProtection="1">
      <protection hidden="1"/>
    </xf>
    <xf numFmtId="0" fontId="30" fillId="7" borderId="0" xfId="0" applyFont="1" applyFill="1" applyBorder="1" applyProtection="1">
      <protection hidden="1"/>
    </xf>
    <xf numFmtId="0" fontId="29" fillId="7" borderId="0" xfId="0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Border="1" applyProtection="1">
      <protection hidden="1"/>
    </xf>
    <xf numFmtId="0" fontId="29" fillId="7" borderId="77" xfId="0" applyFont="1" applyFill="1" applyBorder="1" applyProtection="1">
      <protection hidden="1"/>
    </xf>
    <xf numFmtId="0" fontId="2" fillId="7" borderId="0" xfId="0" applyFont="1" applyFill="1" applyBorder="1" applyProtection="1">
      <protection hidden="1"/>
    </xf>
    <xf numFmtId="10" fontId="2" fillId="7" borderId="0" xfId="0" applyNumberFormat="1" applyFont="1" applyFill="1" applyBorder="1" applyAlignment="1" applyProtection="1">
      <alignment horizontal="center"/>
      <protection hidden="1"/>
    </xf>
    <xf numFmtId="0" fontId="33" fillId="11" borderId="0" xfId="0" applyFont="1" applyFill="1" applyBorder="1" applyProtection="1">
      <protection hidden="1"/>
    </xf>
    <xf numFmtId="0" fontId="2" fillId="11" borderId="0" xfId="0" applyFont="1" applyFill="1" applyBorder="1" applyProtection="1">
      <protection hidden="1"/>
    </xf>
    <xf numFmtId="0" fontId="2" fillId="11" borderId="0" xfId="0" applyFont="1" applyFill="1" applyBorder="1" applyAlignment="1" applyProtection="1">
      <alignment horizontal="center"/>
      <protection hidden="1"/>
    </xf>
    <xf numFmtId="1" fontId="2" fillId="11" borderId="0" xfId="0" applyNumberFormat="1" applyFont="1" applyFill="1" applyBorder="1" applyProtection="1">
      <protection hidden="1"/>
    </xf>
    <xf numFmtId="0" fontId="33" fillId="10" borderId="85" xfId="0" applyFont="1" applyFill="1" applyBorder="1" applyAlignment="1" applyProtection="1">
      <alignment horizontal="center"/>
      <protection hidden="1"/>
    </xf>
    <xf numFmtId="0" fontId="33" fillId="7" borderId="77" xfId="0" applyFont="1" applyFill="1" applyBorder="1" applyAlignment="1" applyProtection="1">
      <alignment horizontal="center"/>
      <protection hidden="1"/>
    </xf>
    <xf numFmtId="0" fontId="33" fillId="10" borderId="7" xfId="0" applyFont="1" applyFill="1" applyBorder="1" applyAlignment="1" applyProtection="1">
      <alignment horizontal="center"/>
      <protection hidden="1"/>
    </xf>
    <xf numFmtId="0" fontId="33" fillId="10" borderId="105" xfId="0" applyFont="1" applyFill="1" applyBorder="1" applyAlignment="1" applyProtection="1">
      <alignment horizontal="center"/>
      <protection hidden="1"/>
    </xf>
    <xf numFmtId="0" fontId="33" fillId="10" borderId="106" xfId="0" applyFont="1" applyFill="1" applyBorder="1" applyAlignment="1" applyProtection="1">
      <alignment horizontal="center"/>
      <protection hidden="1"/>
    </xf>
    <xf numFmtId="0" fontId="33" fillId="10" borderId="108" xfId="0" applyFont="1" applyFill="1" applyBorder="1" applyAlignment="1" applyProtection="1">
      <alignment horizontal="center"/>
      <protection hidden="1"/>
    </xf>
    <xf numFmtId="0" fontId="33" fillId="10" borderId="125" xfId="0" applyFont="1" applyFill="1" applyBorder="1" applyAlignment="1" applyProtection="1">
      <alignment horizontal="center"/>
      <protection hidden="1"/>
    </xf>
    <xf numFmtId="0" fontId="33" fillId="10" borderId="107" xfId="0" applyFont="1" applyFill="1" applyBorder="1" applyAlignment="1" applyProtection="1">
      <alignment horizontal="center"/>
      <protection hidden="1"/>
    </xf>
    <xf numFmtId="0" fontId="33" fillId="10" borderId="122" xfId="0" applyFont="1" applyFill="1" applyBorder="1" applyAlignment="1" applyProtection="1">
      <alignment horizontal="center"/>
      <protection hidden="1"/>
    </xf>
    <xf numFmtId="0" fontId="29" fillId="10" borderId="89" xfId="0" applyFont="1" applyFill="1" applyBorder="1" applyProtection="1">
      <protection hidden="1"/>
    </xf>
    <xf numFmtId="0" fontId="29" fillId="10" borderId="89" xfId="0" applyFont="1" applyFill="1" applyBorder="1" applyAlignment="1" applyProtection="1">
      <alignment horizontal="center"/>
      <protection hidden="1"/>
    </xf>
    <xf numFmtId="0" fontId="29" fillId="10" borderId="8" xfId="0" applyFont="1" applyFill="1" applyBorder="1" applyAlignment="1" applyProtection="1">
      <alignment horizontal="center"/>
      <protection hidden="1"/>
    </xf>
    <xf numFmtId="0" fontId="29" fillId="10" borderId="6" xfId="0" applyFont="1" applyFill="1" applyBorder="1" applyProtection="1">
      <protection hidden="1"/>
    </xf>
    <xf numFmtId="0" fontId="29" fillId="10" borderId="56" xfId="0" applyFont="1" applyFill="1" applyBorder="1" applyProtection="1">
      <protection hidden="1"/>
    </xf>
    <xf numFmtId="0" fontId="30" fillId="10" borderId="48" xfId="0" applyFont="1" applyFill="1" applyBorder="1" applyProtection="1">
      <protection hidden="1"/>
    </xf>
    <xf numFmtId="0" fontId="2" fillId="9" borderId="88" xfId="0" applyNumberFormat="1" applyFont="1" applyFill="1" applyBorder="1" applyAlignment="1" applyProtection="1">
      <alignment horizontal="center"/>
      <protection hidden="1"/>
    </xf>
    <xf numFmtId="14" fontId="2" fillId="3" borderId="88" xfId="0" applyNumberFormat="1" applyFont="1" applyFill="1" applyBorder="1" applyAlignment="1" applyProtection="1">
      <alignment horizontal="center"/>
      <protection hidden="1"/>
    </xf>
    <xf numFmtId="10" fontId="2" fillId="3" borderId="88" xfId="0" applyNumberFormat="1" applyFont="1" applyFill="1" applyBorder="1" applyAlignment="1" applyProtection="1">
      <alignment horizontal="center"/>
      <protection hidden="1"/>
    </xf>
    <xf numFmtId="165" fontId="2" fillId="3" borderId="71" xfId="0" applyNumberFormat="1" applyFont="1" applyFill="1" applyBorder="1" applyAlignment="1" applyProtection="1">
      <alignment horizontal="right"/>
      <protection hidden="1"/>
    </xf>
    <xf numFmtId="165" fontId="2" fillId="3" borderId="88" xfId="0" applyNumberFormat="1" applyFont="1" applyFill="1" applyBorder="1" applyAlignment="1" applyProtection="1">
      <alignment horizontal="right"/>
      <protection hidden="1"/>
    </xf>
    <xf numFmtId="165" fontId="2" fillId="3" borderId="67" xfId="0" applyNumberFormat="1" applyFont="1" applyFill="1" applyBorder="1" applyAlignment="1" applyProtection="1">
      <alignment horizontal="right"/>
      <protection hidden="1"/>
    </xf>
    <xf numFmtId="0" fontId="2" fillId="3" borderId="68" xfId="0" applyFont="1" applyFill="1" applyBorder="1" applyAlignment="1" applyProtection="1">
      <alignment horizontal="center"/>
      <protection hidden="1"/>
    </xf>
    <xf numFmtId="165" fontId="2" fillId="3" borderId="88" xfId="0" applyNumberFormat="1" applyFont="1" applyFill="1" applyBorder="1" applyAlignment="1" applyProtection="1">
      <alignment horizontal="center"/>
      <protection hidden="1"/>
    </xf>
    <xf numFmtId="0" fontId="2" fillId="7" borderId="77" xfId="0" applyFont="1" applyFill="1" applyBorder="1" applyProtection="1">
      <protection hidden="1"/>
    </xf>
    <xf numFmtId="1" fontId="2" fillId="9" borderId="57" xfId="0" applyNumberFormat="1" applyFont="1" applyFill="1" applyBorder="1" applyAlignment="1" applyProtection="1">
      <alignment horizontal="center"/>
      <protection hidden="1"/>
    </xf>
    <xf numFmtId="14" fontId="2" fillId="3" borderId="57" xfId="0" applyNumberFormat="1" applyFont="1" applyFill="1" applyBorder="1" applyAlignment="1" applyProtection="1">
      <alignment horizontal="center"/>
      <protection hidden="1"/>
    </xf>
    <xf numFmtId="10" fontId="2" fillId="3" borderId="57" xfId="0" applyNumberFormat="1" applyFont="1" applyFill="1" applyBorder="1" applyAlignment="1" applyProtection="1">
      <alignment horizontal="center"/>
      <protection hidden="1"/>
    </xf>
    <xf numFmtId="165" fontId="2" fillId="3" borderId="50" xfId="0" applyNumberFormat="1" applyFont="1" applyFill="1" applyBorder="1" applyAlignment="1" applyProtection="1">
      <alignment horizontal="right"/>
      <protection hidden="1"/>
    </xf>
    <xf numFmtId="165" fontId="2" fillId="3" borderId="51" xfId="0" applyNumberFormat="1" applyFont="1" applyFill="1" applyBorder="1" applyAlignment="1" applyProtection="1">
      <alignment horizontal="right"/>
      <protection hidden="1"/>
    </xf>
    <xf numFmtId="165" fontId="2" fillId="3" borderId="57" xfId="0" applyNumberFormat="1" applyFont="1" applyFill="1" applyBorder="1" applyAlignment="1" applyProtection="1">
      <alignment horizontal="right"/>
      <protection hidden="1"/>
    </xf>
    <xf numFmtId="10" fontId="2" fillId="3" borderId="51" xfId="0" applyNumberFormat="1" applyFont="1" applyFill="1" applyBorder="1" applyAlignment="1" applyProtection="1">
      <alignment horizontal="center"/>
      <protection hidden="1"/>
    </xf>
    <xf numFmtId="165" fontId="2" fillId="3" borderId="57" xfId="0" applyNumberFormat="1" applyFont="1" applyFill="1" applyBorder="1" applyAlignment="1" applyProtection="1">
      <alignment horizontal="center"/>
      <protection hidden="1"/>
    </xf>
    <xf numFmtId="40" fontId="2" fillId="3" borderId="59" xfId="0" applyNumberFormat="1" applyFont="1" applyFill="1" applyBorder="1" applyProtection="1">
      <protection hidden="1"/>
    </xf>
    <xf numFmtId="0" fontId="2" fillId="9" borderId="75" xfId="0" applyFont="1" applyFill="1" applyBorder="1" applyAlignment="1" applyProtection="1">
      <alignment horizontal="center"/>
      <protection hidden="1"/>
    </xf>
    <xf numFmtId="14" fontId="2" fillId="3" borderId="75" xfId="0" applyNumberFormat="1" applyFont="1" applyFill="1" applyBorder="1" applyAlignment="1" applyProtection="1">
      <alignment horizontal="center"/>
      <protection hidden="1"/>
    </xf>
    <xf numFmtId="10" fontId="2" fillId="3" borderId="75" xfId="0" applyNumberFormat="1" applyFont="1" applyFill="1" applyBorder="1" applyAlignment="1" applyProtection="1">
      <alignment horizontal="center"/>
      <protection hidden="1"/>
    </xf>
    <xf numFmtId="165" fontId="2" fillId="3" borderId="52" xfId="0" applyNumberFormat="1" applyFont="1" applyFill="1" applyBorder="1" applyAlignment="1" applyProtection="1">
      <alignment horizontal="right"/>
      <protection hidden="1"/>
    </xf>
    <xf numFmtId="165" fontId="2" fillId="3" borderId="53" xfId="0" applyNumberFormat="1" applyFont="1" applyFill="1" applyBorder="1" applyAlignment="1" applyProtection="1">
      <alignment horizontal="right"/>
      <protection hidden="1"/>
    </xf>
    <xf numFmtId="165" fontId="2" fillId="3" borderId="75" xfId="0" applyNumberFormat="1" applyFont="1" applyFill="1" applyBorder="1" applyAlignment="1" applyProtection="1">
      <alignment horizontal="right"/>
      <protection hidden="1"/>
    </xf>
    <xf numFmtId="165" fontId="2" fillId="3" borderId="70" xfId="0" applyNumberFormat="1" applyFont="1" applyFill="1" applyBorder="1" applyAlignment="1" applyProtection="1">
      <alignment horizontal="right"/>
      <protection hidden="1"/>
    </xf>
    <xf numFmtId="10" fontId="2" fillId="3" borderId="53" xfId="0" applyNumberFormat="1" applyFont="1" applyFill="1" applyBorder="1" applyAlignment="1" applyProtection="1">
      <alignment horizontal="center"/>
      <protection hidden="1"/>
    </xf>
    <xf numFmtId="14" fontId="2" fillId="11" borderId="0" xfId="0" applyNumberFormat="1" applyFont="1" applyFill="1" applyBorder="1" applyAlignment="1" applyProtection="1">
      <alignment horizontal="center"/>
      <protection hidden="1"/>
    </xf>
    <xf numFmtId="10" fontId="2" fillId="11" borderId="0" xfId="0" applyNumberFormat="1" applyFont="1" applyFill="1" applyBorder="1" applyAlignment="1" applyProtection="1">
      <alignment horizontal="center"/>
      <protection hidden="1"/>
    </xf>
    <xf numFmtId="14" fontId="32" fillId="14" borderId="0" xfId="0" applyNumberFormat="1" applyFont="1" applyFill="1" applyBorder="1" applyProtection="1">
      <protection hidden="1"/>
    </xf>
    <xf numFmtId="0" fontId="32" fillId="14" borderId="0" xfId="0" applyFont="1" applyFill="1" applyBorder="1" applyProtection="1">
      <protection hidden="1"/>
    </xf>
    <xf numFmtId="0" fontId="34" fillId="14" borderId="0" xfId="0" applyFont="1" applyFill="1" applyBorder="1" applyAlignment="1" applyProtection="1">
      <alignment horizontal="center"/>
      <protection hidden="1"/>
    </xf>
    <xf numFmtId="0" fontId="34" fillId="7" borderId="0" xfId="0" applyFont="1" applyFill="1" applyBorder="1" applyProtection="1">
      <protection hidden="1"/>
    </xf>
    <xf numFmtId="0" fontId="33" fillId="7" borderId="8" xfId="0" applyFont="1" applyFill="1" applyBorder="1" applyAlignment="1" applyProtection="1">
      <alignment horizontal="center"/>
      <protection hidden="1"/>
    </xf>
    <xf numFmtId="0" fontId="33" fillId="7" borderId="0" xfId="0" applyFont="1" applyFill="1" applyBorder="1" applyAlignment="1" applyProtection="1">
      <protection hidden="1"/>
    </xf>
    <xf numFmtId="0" fontId="33" fillId="7" borderId="0" xfId="0" applyFont="1" applyFill="1" applyBorder="1" applyAlignment="1" applyProtection="1">
      <alignment horizontal="center"/>
      <protection hidden="1"/>
    </xf>
    <xf numFmtId="0" fontId="29" fillId="10" borderId="20" xfId="0" applyFont="1" applyFill="1" applyBorder="1" applyAlignment="1" applyProtection="1">
      <alignment horizontal="center"/>
      <protection hidden="1"/>
    </xf>
    <xf numFmtId="0" fontId="29" fillId="7" borderId="8" xfId="0" applyFont="1" applyFill="1" applyBorder="1" applyProtection="1">
      <protection hidden="1"/>
    </xf>
    <xf numFmtId="165" fontId="2" fillId="3" borderId="76" xfId="0" applyNumberFormat="1" applyFont="1" applyFill="1" applyBorder="1" applyProtection="1">
      <protection hidden="1"/>
    </xf>
    <xf numFmtId="0" fontId="2" fillId="7" borderId="8" xfId="0" applyFont="1" applyFill="1" applyBorder="1" applyProtection="1">
      <protection hidden="1"/>
    </xf>
    <xf numFmtId="166" fontId="2" fillId="11" borderId="0" xfId="0" applyNumberFormat="1" applyFont="1" applyFill="1" applyBorder="1" applyProtection="1">
      <protection hidden="1"/>
    </xf>
    <xf numFmtId="0" fontId="2" fillId="9" borderId="57" xfId="0" applyFont="1" applyFill="1" applyBorder="1" applyAlignment="1" applyProtection="1">
      <alignment horizontal="center"/>
      <protection hidden="1"/>
    </xf>
    <xf numFmtId="165" fontId="2" fillId="3" borderId="109" xfId="0" applyNumberFormat="1" applyFont="1" applyFill="1" applyBorder="1" applyProtection="1">
      <protection hidden="1"/>
    </xf>
    <xf numFmtId="2" fontId="2" fillId="11" borderId="0" xfId="0" applyNumberFormat="1" applyFont="1" applyFill="1" applyBorder="1" applyAlignment="1" applyProtection="1">
      <alignment horizontal="center"/>
      <protection hidden="1"/>
    </xf>
    <xf numFmtId="167" fontId="2" fillId="11" borderId="0" xfId="0" applyNumberFormat="1" applyFont="1" applyFill="1" applyBorder="1" applyProtection="1">
      <protection hidden="1"/>
    </xf>
    <xf numFmtId="10" fontId="2" fillId="3" borderId="111" xfId="0" applyNumberFormat="1" applyFont="1" applyFill="1" applyBorder="1" applyAlignment="1" applyProtection="1">
      <alignment horizontal="center"/>
      <protection hidden="1"/>
    </xf>
    <xf numFmtId="165" fontId="2" fillId="3" borderId="128" xfId="0" applyNumberFormat="1" applyFont="1" applyFill="1" applyBorder="1" applyProtection="1">
      <protection hidden="1"/>
    </xf>
    <xf numFmtId="165" fontId="2" fillId="3" borderId="113" xfId="0" applyNumberFormat="1" applyFont="1" applyFill="1" applyBorder="1" applyProtection="1">
      <protection hidden="1"/>
    </xf>
    <xf numFmtId="165" fontId="2" fillId="3" borderId="110" xfId="0" applyNumberFormat="1" applyFont="1" applyFill="1" applyBorder="1" applyAlignment="1" applyProtection="1">
      <alignment horizontal="center"/>
      <protection hidden="1"/>
    </xf>
    <xf numFmtId="10" fontId="2" fillId="3" borderId="110" xfId="0" applyNumberFormat="1" applyFont="1" applyFill="1" applyBorder="1" applyAlignment="1" applyProtection="1">
      <alignment horizontal="center"/>
      <protection hidden="1"/>
    </xf>
    <xf numFmtId="166" fontId="33" fillId="11" borderId="0" xfId="0" applyNumberFormat="1" applyFont="1" applyFill="1" applyBorder="1" applyProtection="1">
      <protection hidden="1"/>
    </xf>
    <xf numFmtId="2" fontId="2" fillId="3" borderId="115" xfId="0" applyNumberFormat="1" applyFont="1" applyFill="1" applyBorder="1" applyAlignment="1" applyProtection="1">
      <alignment horizontal="center"/>
      <protection hidden="1"/>
    </xf>
    <xf numFmtId="2" fontId="2" fillId="3" borderId="121" xfId="0" applyNumberFormat="1" applyFont="1" applyFill="1" applyBorder="1" applyAlignment="1" applyProtection="1">
      <alignment horizontal="center"/>
      <protection hidden="1"/>
    </xf>
    <xf numFmtId="2" fontId="2" fillId="3" borderId="117" xfId="0" applyNumberFormat="1" applyFont="1" applyFill="1" applyBorder="1" applyAlignment="1" applyProtection="1">
      <alignment horizontal="center"/>
      <protection hidden="1"/>
    </xf>
    <xf numFmtId="2" fontId="2" fillId="3" borderId="114" xfId="0" applyNumberFormat="1" applyFont="1" applyFill="1" applyBorder="1" applyAlignment="1" applyProtection="1">
      <alignment horizontal="center"/>
      <protection hidden="1"/>
    </xf>
    <xf numFmtId="10" fontId="2" fillId="3" borderId="114" xfId="0" applyNumberFormat="1" applyFont="1" applyFill="1" applyBorder="1" applyAlignment="1" applyProtection="1">
      <alignment horizontal="right" indent="1"/>
      <protection hidden="1"/>
    </xf>
    <xf numFmtId="10" fontId="2" fillId="11" borderId="0" xfId="0" applyNumberFormat="1" applyFont="1" applyFill="1" applyBorder="1" applyAlignment="1" applyProtection="1">
      <alignment horizontal="right" indent="1"/>
      <protection hidden="1"/>
    </xf>
    <xf numFmtId="10" fontId="33" fillId="11" borderId="0" xfId="0" applyNumberFormat="1" applyFont="1" applyFill="1" applyBorder="1" applyAlignment="1" applyProtection="1">
      <alignment horizontal="right" indent="1"/>
      <protection hidden="1"/>
    </xf>
    <xf numFmtId="0" fontId="29" fillId="10" borderId="7" xfId="0" applyFont="1" applyFill="1" applyBorder="1" applyAlignment="1" applyProtection="1">
      <alignment horizontal="center"/>
      <protection hidden="1"/>
    </xf>
    <xf numFmtId="0" fontId="29" fillId="10" borderId="9" xfId="0" applyFont="1" applyFill="1" applyBorder="1" applyProtection="1">
      <protection hidden="1"/>
    </xf>
    <xf numFmtId="10" fontId="2" fillId="3" borderId="121" xfId="0" applyNumberFormat="1" applyFont="1" applyFill="1" applyBorder="1" applyAlignment="1" applyProtection="1">
      <alignment horizontal="right" indent="1"/>
      <protection hidden="1"/>
    </xf>
    <xf numFmtId="10" fontId="2" fillId="3" borderId="117" xfId="0" applyNumberFormat="1" applyFont="1" applyFill="1" applyBorder="1" applyAlignment="1" applyProtection="1">
      <alignment horizontal="right" indent="1"/>
      <protection hidden="1"/>
    </xf>
    <xf numFmtId="10" fontId="2" fillId="3" borderId="114" xfId="0" applyNumberFormat="1" applyFont="1" applyFill="1" applyBorder="1" applyAlignment="1" applyProtection="1">
      <alignment horizontal="center"/>
      <protection hidden="1"/>
    </xf>
    <xf numFmtId="0" fontId="30" fillId="14" borderId="0" xfId="0" applyFont="1" applyFill="1" applyBorder="1" applyProtection="1">
      <protection hidden="1"/>
    </xf>
    <xf numFmtId="0" fontId="39" fillId="10" borderId="85" xfId="0" applyFont="1" applyFill="1" applyBorder="1" applyAlignment="1" applyProtection="1">
      <alignment horizontal="center"/>
      <protection hidden="1"/>
    </xf>
    <xf numFmtId="0" fontId="3" fillId="10" borderId="85" xfId="0" applyFont="1" applyFill="1" applyBorder="1" applyAlignment="1" applyProtection="1">
      <alignment horizontal="center"/>
      <protection hidden="1"/>
    </xf>
    <xf numFmtId="0" fontId="39" fillId="10" borderId="111" xfId="0" applyFont="1" applyFill="1" applyBorder="1" applyAlignment="1" applyProtection="1">
      <protection hidden="1"/>
    </xf>
    <xf numFmtId="0" fontId="39" fillId="10" borderId="118" xfId="0" applyFont="1" applyFill="1" applyBorder="1" applyAlignment="1" applyProtection="1">
      <protection hidden="1"/>
    </xf>
    <xf numFmtId="0" fontId="39" fillId="10" borderId="7" xfId="0" applyFont="1" applyFill="1" applyBorder="1" applyAlignment="1" applyProtection="1">
      <alignment horizontal="center"/>
      <protection hidden="1"/>
    </xf>
    <xf numFmtId="0" fontId="39" fillId="10" borderId="108" xfId="0" applyFont="1" applyFill="1" applyBorder="1" applyAlignment="1" applyProtection="1">
      <alignment horizontal="center"/>
      <protection hidden="1"/>
    </xf>
    <xf numFmtId="0" fontId="39" fillId="10" borderId="122" xfId="0" applyFont="1" applyFill="1" applyBorder="1" applyAlignment="1" applyProtection="1">
      <alignment horizontal="center"/>
      <protection hidden="1"/>
    </xf>
    <xf numFmtId="0" fontId="38" fillId="10" borderId="89" xfId="0" applyFont="1" applyFill="1" applyBorder="1" applyProtection="1">
      <protection hidden="1"/>
    </xf>
    <xf numFmtId="0" fontId="39" fillId="10" borderId="55" xfId="0" applyFont="1" applyFill="1" applyBorder="1" applyAlignment="1" applyProtection="1">
      <alignment horizontal="center"/>
      <protection hidden="1"/>
    </xf>
    <xf numFmtId="0" fontId="2" fillId="10" borderId="89" xfId="0" applyFont="1" applyFill="1" applyBorder="1" applyProtection="1">
      <protection hidden="1"/>
    </xf>
    <xf numFmtId="0" fontId="2" fillId="10" borderId="55" xfId="0" applyFont="1" applyFill="1" applyBorder="1" applyProtection="1">
      <protection hidden="1"/>
    </xf>
    <xf numFmtId="0" fontId="2" fillId="10" borderId="56" xfId="0" applyFont="1" applyFill="1" applyBorder="1" applyProtection="1">
      <protection hidden="1"/>
    </xf>
    <xf numFmtId="10" fontId="2" fillId="3" borderId="71" xfId="0" applyNumberFormat="1" applyFont="1" applyFill="1" applyBorder="1" applyAlignment="1" applyProtection="1">
      <alignment horizontal="center"/>
      <protection hidden="1"/>
    </xf>
    <xf numFmtId="10" fontId="2" fillId="3" borderId="68" xfId="0" applyNumberFormat="1" applyFont="1" applyFill="1" applyBorder="1" applyAlignment="1" applyProtection="1">
      <alignment horizontal="center"/>
      <protection hidden="1"/>
    </xf>
    <xf numFmtId="1" fontId="2" fillId="3" borderId="57" xfId="0" applyNumberFormat="1" applyFont="1" applyFill="1" applyBorder="1" applyAlignment="1" applyProtection="1">
      <alignment horizontal="center"/>
      <protection hidden="1"/>
    </xf>
    <xf numFmtId="10" fontId="2" fillId="3" borderId="50" xfId="0" applyNumberFormat="1" applyFont="1" applyFill="1" applyBorder="1" applyAlignment="1" applyProtection="1">
      <alignment horizontal="center"/>
      <protection hidden="1"/>
    </xf>
    <xf numFmtId="165" fontId="2" fillId="3" borderId="75" xfId="0" applyNumberFormat="1" applyFont="1" applyFill="1" applyBorder="1" applyProtection="1">
      <protection hidden="1"/>
    </xf>
    <xf numFmtId="165" fontId="33" fillId="3" borderId="75" xfId="0" applyNumberFormat="1" applyFont="1" applyFill="1" applyBorder="1" applyProtection="1">
      <protection hidden="1"/>
    </xf>
    <xf numFmtId="0" fontId="2" fillId="3" borderId="52" xfId="0" applyFont="1" applyFill="1" applyBorder="1" applyProtection="1">
      <protection hidden="1"/>
    </xf>
    <xf numFmtId="0" fontId="2" fillId="3" borderId="53" xfId="0" applyFont="1" applyFill="1" applyBorder="1" applyProtection="1">
      <protection hidden="1"/>
    </xf>
    <xf numFmtId="0" fontId="33" fillId="7" borderId="0" xfId="0" applyFont="1" applyFill="1" applyBorder="1" applyProtection="1">
      <protection hidden="1"/>
    </xf>
    <xf numFmtId="0" fontId="29" fillId="10" borderId="5" xfId="0" applyFont="1" applyFill="1" applyBorder="1" applyProtection="1">
      <protection hidden="1"/>
    </xf>
    <xf numFmtId="166" fontId="2" fillId="7" borderId="0" xfId="0" applyNumberFormat="1" applyFont="1" applyFill="1" applyBorder="1" applyProtection="1">
      <protection hidden="1"/>
    </xf>
    <xf numFmtId="1" fontId="2" fillId="9" borderId="62" xfId="0" applyNumberFormat="1" applyFont="1" applyFill="1" applyBorder="1" applyAlignment="1" applyProtection="1">
      <alignment horizontal="center"/>
      <protection hidden="1"/>
    </xf>
    <xf numFmtId="166" fontId="33" fillId="7" borderId="0" xfId="0" applyNumberFormat="1" applyFont="1" applyFill="1" applyBorder="1" applyProtection="1">
      <protection hidden="1"/>
    </xf>
    <xf numFmtId="10" fontId="2" fillId="3" borderId="121" xfId="0" applyNumberFormat="1" applyFont="1" applyFill="1" applyBorder="1" applyAlignment="1" applyProtection="1">
      <alignment horizontal="center"/>
      <protection hidden="1"/>
    </xf>
    <xf numFmtId="10" fontId="2" fillId="3" borderId="117" xfId="0" applyNumberFormat="1" applyFont="1" applyFill="1" applyBorder="1" applyAlignment="1" applyProtection="1">
      <alignment horizontal="center"/>
      <protection hidden="1"/>
    </xf>
    <xf numFmtId="10" fontId="33" fillId="7" borderId="0" xfId="0" applyNumberFormat="1" applyFont="1" applyFill="1" applyBorder="1" applyAlignment="1" applyProtection="1">
      <alignment horizontal="right" indent="1"/>
      <protection hidden="1"/>
    </xf>
    <xf numFmtId="10" fontId="2" fillId="7" borderId="0" xfId="0" applyNumberFormat="1" applyFont="1" applyFill="1" applyBorder="1" applyAlignment="1" applyProtection="1">
      <alignment horizontal="right" indent="1"/>
      <protection hidden="1"/>
    </xf>
    <xf numFmtId="0" fontId="29" fillId="11" borderId="0" xfId="0" applyFont="1" applyFill="1" applyBorder="1" applyProtection="1">
      <protection hidden="1"/>
    </xf>
    <xf numFmtId="0" fontId="30" fillId="11" borderId="0" xfId="0" applyFont="1" applyFill="1" applyBorder="1" applyProtection="1">
      <protection hidden="1"/>
    </xf>
    <xf numFmtId="0" fontId="29" fillId="11" borderId="0" xfId="0" applyFont="1" applyFill="1" applyBorder="1" applyAlignment="1" applyProtection="1">
      <alignment horizontal="center"/>
      <protection hidden="1"/>
    </xf>
    <xf numFmtId="1" fontId="29" fillId="11" borderId="0" xfId="0" applyNumberFormat="1" applyFont="1" applyFill="1" applyBorder="1" applyProtection="1">
      <protection hidden="1"/>
    </xf>
    <xf numFmtId="0" fontId="1" fillId="7" borderId="48" xfId="0" applyFont="1" applyFill="1" applyBorder="1" applyProtection="1">
      <protection hidden="1"/>
    </xf>
    <xf numFmtId="0" fontId="1" fillId="7" borderId="48" xfId="0" applyFont="1" applyFill="1" applyBorder="1" applyAlignment="1" applyProtection="1">
      <alignment horizontal="center"/>
      <protection hidden="1"/>
    </xf>
    <xf numFmtId="0" fontId="0" fillId="7" borderId="103" xfId="0" applyFill="1" applyBorder="1" applyProtection="1">
      <protection hidden="1"/>
    </xf>
    <xf numFmtId="0" fontId="0" fillId="7" borderId="14" xfId="0" applyFill="1" applyBorder="1" applyProtection="1">
      <protection hidden="1"/>
    </xf>
    <xf numFmtId="0" fontId="0" fillId="7" borderId="14" xfId="0" applyFill="1" applyBorder="1" applyAlignment="1" applyProtection="1">
      <alignment horizontal="center"/>
      <protection hidden="1"/>
    </xf>
    <xf numFmtId="0" fontId="0" fillId="7" borderId="8" xfId="0" applyFill="1" applyBorder="1" applyProtection="1">
      <protection hidden="1"/>
    </xf>
    <xf numFmtId="0" fontId="33" fillId="7" borderId="7" xfId="0" applyFont="1" applyFill="1" applyBorder="1" applyAlignment="1" applyProtection="1">
      <alignment horizontal="center"/>
      <protection hidden="1"/>
    </xf>
    <xf numFmtId="0" fontId="33" fillId="10" borderId="86" xfId="0" applyFont="1" applyFill="1" applyBorder="1" applyAlignment="1" applyProtection="1">
      <alignment horizontal="center"/>
      <protection hidden="1"/>
    </xf>
    <xf numFmtId="0" fontId="33" fillId="10" borderId="77" xfId="0" applyFont="1" applyFill="1" applyBorder="1" applyAlignment="1" applyProtection="1">
      <alignment horizontal="center"/>
      <protection hidden="1"/>
    </xf>
    <xf numFmtId="0" fontId="29" fillId="7" borderId="7" xfId="0" applyFont="1" applyFill="1" applyBorder="1" applyProtection="1">
      <protection hidden="1"/>
    </xf>
    <xf numFmtId="0" fontId="29" fillId="10" borderId="54" xfId="0" applyFont="1" applyFill="1" applyBorder="1" applyProtection="1">
      <protection hidden="1"/>
    </xf>
    <xf numFmtId="0" fontId="2" fillId="7" borderId="7" xfId="0" applyFont="1" applyFill="1" applyBorder="1" applyProtection="1">
      <protection hidden="1"/>
    </xf>
    <xf numFmtId="1" fontId="2" fillId="9" borderId="109" xfId="0" applyNumberFormat="1" applyFont="1" applyFill="1" applyBorder="1" applyAlignment="1" applyProtection="1">
      <alignment horizontal="center"/>
      <protection hidden="1"/>
    </xf>
    <xf numFmtId="172" fontId="2" fillId="3" borderId="59" xfId="0" applyNumberFormat="1" applyFont="1" applyFill="1" applyBorder="1" applyProtection="1">
      <protection hidden="1"/>
    </xf>
    <xf numFmtId="0" fontId="2" fillId="9" borderId="78" xfId="0" applyFont="1" applyFill="1" applyBorder="1" applyAlignment="1" applyProtection="1">
      <alignment horizontal="center"/>
      <protection hidden="1"/>
    </xf>
    <xf numFmtId="172" fontId="2" fillId="3" borderId="52" xfId="0" applyNumberFormat="1" applyFont="1" applyFill="1" applyBorder="1" applyAlignment="1" applyProtection="1">
      <alignment horizontal="center"/>
      <protection hidden="1"/>
    </xf>
    <xf numFmtId="172" fontId="2" fillId="3" borderId="53" xfId="0" applyNumberFormat="1" applyFont="1" applyFill="1" applyBorder="1" applyAlignment="1" applyProtection="1">
      <alignment horizontal="center"/>
      <protection hidden="1"/>
    </xf>
    <xf numFmtId="172" fontId="2" fillId="3" borderId="75" xfId="0" applyNumberFormat="1" applyFont="1" applyFill="1" applyBorder="1" applyAlignment="1" applyProtection="1">
      <alignment horizontal="center"/>
      <protection hidden="1"/>
    </xf>
    <xf numFmtId="1" fontId="2" fillId="9" borderId="88" xfId="0" applyNumberFormat="1" applyFont="1" applyFill="1" applyBorder="1" applyAlignment="1" applyProtection="1">
      <alignment horizontal="center"/>
      <protection hidden="1"/>
    </xf>
    <xf numFmtId="0" fontId="3" fillId="10" borderId="122" xfId="0" applyFont="1" applyFill="1" applyBorder="1" applyAlignment="1" applyProtection="1">
      <alignment horizontal="center"/>
      <protection hidden="1"/>
    </xf>
    <xf numFmtId="1" fontId="2" fillId="9" borderId="94" xfId="0" applyNumberFormat="1" applyFont="1" applyFill="1" applyBorder="1" applyAlignment="1" applyProtection="1">
      <alignment horizontal="center"/>
      <protection hidden="1"/>
    </xf>
    <xf numFmtId="14" fontId="2" fillId="3" borderId="81" xfId="0" applyNumberFormat="1" applyFont="1" applyFill="1" applyBorder="1" applyAlignment="1" applyProtection="1">
      <alignment horizontal="center" shrinkToFit="1"/>
      <protection hidden="1"/>
    </xf>
    <xf numFmtId="170" fontId="2" fillId="3" borderId="94" xfId="0" applyNumberFormat="1" applyFont="1" applyFill="1" applyBorder="1" applyAlignment="1" applyProtection="1">
      <alignment horizontal="right"/>
      <protection hidden="1"/>
    </xf>
    <xf numFmtId="10" fontId="2" fillId="3" borderId="79" xfId="0" applyNumberFormat="1" applyFont="1" applyFill="1" applyBorder="1" applyAlignment="1" applyProtection="1">
      <alignment horizontal="center"/>
      <protection hidden="1"/>
    </xf>
    <xf numFmtId="10" fontId="2" fillId="3" borderId="81" xfId="0" applyNumberFormat="1" applyFont="1" applyFill="1" applyBorder="1" applyAlignment="1" applyProtection="1">
      <alignment horizontal="center"/>
      <protection hidden="1"/>
    </xf>
    <xf numFmtId="1" fontId="2" fillId="9" borderId="7" xfId="0" applyNumberFormat="1" applyFont="1" applyFill="1" applyBorder="1" applyAlignment="1" applyProtection="1">
      <alignment horizontal="center"/>
      <protection hidden="1"/>
    </xf>
    <xf numFmtId="14" fontId="2" fillId="3" borderId="60" xfId="0" applyNumberFormat="1" applyFont="1" applyFill="1" applyBorder="1" applyAlignment="1" applyProtection="1">
      <alignment horizontal="center"/>
      <protection hidden="1"/>
    </xf>
    <xf numFmtId="14" fontId="2" fillId="3" borderId="5" xfId="0" applyNumberFormat="1" applyFont="1" applyFill="1" applyBorder="1" applyAlignment="1" applyProtection="1">
      <alignment horizontal="center" shrinkToFit="1"/>
      <protection hidden="1"/>
    </xf>
    <xf numFmtId="170" fontId="2" fillId="3" borderId="7" xfId="0" applyNumberFormat="1" applyFont="1" applyFill="1" applyBorder="1" applyAlignment="1" applyProtection="1">
      <alignment horizontal="right"/>
      <protection hidden="1"/>
    </xf>
    <xf numFmtId="10" fontId="2" fillId="3" borderId="6" xfId="0" applyNumberFormat="1" applyFont="1" applyFill="1" applyBorder="1" applyAlignment="1" applyProtection="1">
      <alignment horizontal="center"/>
      <protection hidden="1"/>
    </xf>
    <xf numFmtId="10" fontId="2" fillId="3" borderId="5" xfId="0" applyNumberFormat="1" applyFont="1" applyFill="1" applyBorder="1" applyAlignment="1" applyProtection="1">
      <alignment horizontal="center"/>
      <protection hidden="1"/>
    </xf>
    <xf numFmtId="14" fontId="2" fillId="9" borderId="131" xfId="0" applyNumberFormat="1" applyFont="1" applyFill="1" applyBorder="1" applyAlignment="1" applyProtection="1">
      <alignment horizontal="center" shrinkToFit="1"/>
      <protection hidden="1"/>
    </xf>
    <xf numFmtId="1" fontId="2" fillId="3" borderId="114" xfId="0" applyNumberFormat="1" applyFont="1" applyFill="1" applyBorder="1" applyAlignment="1" applyProtection="1">
      <alignment horizontal="center"/>
      <protection hidden="1"/>
    </xf>
    <xf numFmtId="0" fontId="13" fillId="6" borderId="159" xfId="0" applyFont="1" applyFill="1" applyBorder="1" applyAlignment="1">
      <alignment horizontal="center"/>
    </xf>
    <xf numFmtId="14" fontId="19" fillId="6" borderId="127" xfId="0" applyNumberFormat="1" applyFont="1" applyFill="1" applyBorder="1" applyAlignment="1">
      <alignment horizontal="center"/>
    </xf>
    <xf numFmtId="1" fontId="13" fillId="6" borderId="161" xfId="0" applyNumberFormat="1" applyFont="1" applyFill="1" applyBorder="1" applyAlignment="1">
      <alignment horizontal="center"/>
    </xf>
    <xf numFmtId="0" fontId="13" fillId="6" borderId="162" xfId="0" applyFont="1" applyFill="1" applyBorder="1" applyAlignment="1">
      <alignment horizontal="center"/>
    </xf>
    <xf numFmtId="0" fontId="13" fillId="6" borderId="157" xfId="0" applyFont="1" applyFill="1" applyBorder="1" applyAlignment="1">
      <alignment horizontal="center"/>
    </xf>
    <xf numFmtId="14" fontId="12" fillId="6" borderId="163" xfId="0" applyNumberFormat="1" applyFont="1" applyFill="1" applyBorder="1" applyAlignment="1">
      <alignment horizontal="center"/>
    </xf>
    <xf numFmtId="0" fontId="62" fillId="7" borderId="0" xfId="0" applyFont="1" applyFill="1" applyBorder="1"/>
    <xf numFmtId="0" fontId="46" fillId="10" borderId="167" xfId="0" applyFont="1" applyFill="1" applyBorder="1" applyProtection="1">
      <protection hidden="1"/>
    </xf>
    <xf numFmtId="14" fontId="46" fillId="10" borderId="137" xfId="0" applyNumberFormat="1" applyFont="1" applyFill="1" applyBorder="1" applyProtection="1">
      <protection hidden="1"/>
    </xf>
    <xf numFmtId="1" fontId="46" fillId="10" borderId="168" xfId="0" applyNumberFormat="1" applyFont="1" applyFill="1" applyBorder="1" applyAlignment="1" applyProtection="1">
      <alignment horizontal="center"/>
      <protection hidden="1"/>
    </xf>
    <xf numFmtId="14" fontId="46" fillId="10" borderId="169" xfId="0" applyNumberFormat="1" applyFont="1" applyFill="1" applyBorder="1" applyAlignment="1" applyProtection="1">
      <alignment horizontal="center"/>
      <protection hidden="1"/>
    </xf>
    <xf numFmtId="10" fontId="46" fillId="10" borderId="169" xfId="0" applyNumberFormat="1" applyFont="1" applyFill="1" applyBorder="1" applyAlignment="1" applyProtection="1">
      <alignment horizontal="center"/>
      <protection hidden="1"/>
    </xf>
    <xf numFmtId="0" fontId="46" fillId="10" borderId="169" xfId="0" applyFont="1" applyFill="1" applyBorder="1" applyAlignment="1" applyProtection="1">
      <alignment horizontal="center"/>
      <protection hidden="1"/>
    </xf>
    <xf numFmtId="0" fontId="46" fillId="10" borderId="169" xfId="0" applyNumberFormat="1" applyFont="1" applyFill="1" applyBorder="1" applyAlignment="1" applyProtection="1">
      <alignment horizontal="center"/>
      <protection hidden="1"/>
    </xf>
    <xf numFmtId="0" fontId="46" fillId="10" borderId="170" xfId="0" applyFont="1" applyFill="1" applyBorder="1" applyAlignment="1" applyProtection="1">
      <alignment horizontal="center"/>
      <protection hidden="1"/>
    </xf>
    <xf numFmtId="0" fontId="8" fillId="20" borderId="8" xfId="0" applyFont="1" applyFill="1" applyBorder="1"/>
    <xf numFmtId="0" fontId="8" fillId="20" borderId="0" xfId="0" applyFont="1" applyFill="1" applyBorder="1"/>
    <xf numFmtId="0" fontId="7" fillId="20" borderId="0" xfId="0" applyFont="1" applyFill="1" applyBorder="1" applyAlignment="1" applyProtection="1">
      <alignment horizontal="left"/>
      <protection locked="0"/>
    </xf>
    <xf numFmtId="0" fontId="8" fillId="20" borderId="77" xfId="0" applyFont="1" applyFill="1" applyBorder="1"/>
    <xf numFmtId="0" fontId="47" fillId="7" borderId="8" xfId="0" applyFont="1" applyFill="1" applyBorder="1" applyProtection="1">
      <protection hidden="1"/>
    </xf>
    <xf numFmtId="0" fontId="47" fillId="7" borderId="20" xfId="0" applyFont="1" applyFill="1" applyBorder="1" applyProtection="1">
      <protection hidden="1"/>
    </xf>
    <xf numFmtId="0" fontId="47" fillId="7" borderId="48" xfId="0" applyFont="1" applyFill="1" applyBorder="1" applyProtection="1">
      <protection hidden="1"/>
    </xf>
    <xf numFmtId="1" fontId="47" fillId="7" borderId="48" xfId="0" applyNumberFormat="1" applyFont="1" applyFill="1" applyBorder="1" applyAlignment="1" applyProtection="1">
      <alignment horizontal="center"/>
      <protection hidden="1"/>
    </xf>
    <xf numFmtId="0" fontId="47" fillId="7" borderId="48" xfId="0" applyFont="1" applyFill="1" applyBorder="1" applyAlignment="1" applyProtection="1">
      <alignment horizontal="center"/>
      <protection hidden="1"/>
    </xf>
    <xf numFmtId="0" fontId="47" fillId="7" borderId="48" xfId="0" applyNumberFormat="1" applyFont="1" applyFill="1" applyBorder="1" applyAlignment="1" applyProtection="1">
      <alignment horizontal="center"/>
      <protection hidden="1"/>
    </xf>
    <xf numFmtId="0" fontId="55" fillId="7" borderId="48" xfId="0" applyFont="1" applyFill="1" applyBorder="1" applyProtection="1">
      <protection hidden="1"/>
    </xf>
    <xf numFmtId="0" fontId="46" fillId="7" borderId="144" xfId="0" applyFont="1" applyFill="1" applyBorder="1" applyProtection="1">
      <protection hidden="1"/>
    </xf>
    <xf numFmtId="0" fontId="46" fillId="7" borderId="144" xfId="0" applyFont="1" applyFill="1" applyBorder="1" applyAlignment="1" applyProtection="1">
      <protection hidden="1"/>
    </xf>
    <xf numFmtId="0" fontId="46" fillId="7" borderId="171" xfId="0" applyFont="1" applyFill="1" applyBorder="1" applyProtection="1">
      <protection hidden="1"/>
    </xf>
    <xf numFmtId="0" fontId="63" fillId="7" borderId="144" xfId="0" applyFont="1" applyFill="1" applyBorder="1" applyProtection="1">
      <protection hidden="1"/>
    </xf>
    <xf numFmtId="0" fontId="63" fillId="7" borderId="158" xfId="0" applyFont="1" applyFill="1" applyBorder="1" applyProtection="1">
      <protection hidden="1"/>
    </xf>
    <xf numFmtId="0" fontId="63" fillId="7" borderId="173" xfId="0" applyFont="1" applyFill="1" applyBorder="1" applyProtection="1">
      <protection hidden="1"/>
    </xf>
    <xf numFmtId="49" fontId="47" fillId="0" borderId="0" xfId="0" applyNumberFormat="1" applyFont="1" applyProtection="1">
      <protection hidden="1"/>
    </xf>
    <xf numFmtId="14" fontId="47" fillId="0" borderId="0" xfId="0" applyNumberFormat="1" applyFont="1" applyProtection="1">
      <protection hidden="1"/>
    </xf>
    <xf numFmtId="1" fontId="46" fillId="7" borderId="79" xfId="0" applyNumberFormat="1" applyFont="1" applyFill="1" applyBorder="1" applyAlignment="1" applyProtection="1">
      <alignment horizontal="center"/>
      <protection hidden="1"/>
    </xf>
    <xf numFmtId="14" fontId="46" fillId="7" borderId="80" xfId="0" applyNumberFormat="1" applyFont="1" applyFill="1" applyBorder="1" applyAlignment="1" applyProtection="1">
      <alignment horizontal="center"/>
      <protection hidden="1"/>
    </xf>
    <xf numFmtId="10" fontId="46" fillId="7" borderId="80" xfId="0" applyNumberFormat="1" applyFont="1" applyFill="1" applyBorder="1" applyAlignment="1" applyProtection="1">
      <alignment horizontal="center"/>
      <protection hidden="1"/>
    </xf>
    <xf numFmtId="14" fontId="46" fillId="7" borderId="58" xfId="1" applyNumberFormat="1" applyFont="1" applyFill="1" applyBorder="1" applyAlignment="1" applyProtection="1">
      <alignment horizontal="center"/>
      <protection hidden="1"/>
    </xf>
    <xf numFmtId="0" fontId="46" fillId="7" borderId="80" xfId="0" applyFont="1" applyFill="1" applyBorder="1" applyAlignment="1" applyProtection="1">
      <alignment horizontal="center"/>
      <protection hidden="1"/>
    </xf>
    <xf numFmtId="0" fontId="46" fillId="7" borderId="81" xfId="0" applyFont="1" applyFill="1" applyBorder="1" applyAlignment="1" applyProtection="1">
      <alignment horizontal="center"/>
      <protection hidden="1"/>
    </xf>
    <xf numFmtId="1" fontId="46" fillId="7" borderId="50" xfId="0" applyNumberFormat="1" applyFont="1" applyFill="1" applyBorder="1" applyAlignment="1" applyProtection="1">
      <alignment horizontal="center"/>
      <protection hidden="1"/>
    </xf>
    <xf numFmtId="14" fontId="46" fillId="7" borderId="58" xfId="0" applyNumberFormat="1" applyFont="1" applyFill="1" applyBorder="1" applyAlignment="1" applyProtection="1">
      <alignment horizontal="center"/>
      <protection hidden="1"/>
    </xf>
    <xf numFmtId="10" fontId="46" fillId="7" borderId="58" xfId="0" applyNumberFormat="1" applyFont="1" applyFill="1" applyBorder="1" applyAlignment="1" applyProtection="1">
      <alignment horizontal="center"/>
      <protection hidden="1"/>
    </xf>
    <xf numFmtId="0" fontId="46" fillId="7" borderId="58" xfId="0" applyFont="1" applyFill="1" applyBorder="1" applyAlignment="1" applyProtection="1">
      <alignment horizontal="center"/>
      <protection hidden="1"/>
    </xf>
    <xf numFmtId="0" fontId="46" fillId="7" borderId="51" xfId="0" applyFont="1" applyFill="1" applyBorder="1" applyAlignment="1" applyProtection="1">
      <alignment horizontal="center"/>
      <protection hidden="1"/>
    </xf>
    <xf numFmtId="14" fontId="46" fillId="7" borderId="73" xfId="0" applyNumberFormat="1" applyFont="1" applyFill="1" applyBorder="1" applyAlignment="1" applyProtection="1">
      <alignment horizontal="center"/>
      <protection hidden="1"/>
    </xf>
    <xf numFmtId="10" fontId="46" fillId="7" borderId="73" xfId="0" applyNumberFormat="1" applyFont="1" applyFill="1" applyBorder="1" applyAlignment="1" applyProtection="1">
      <alignment horizontal="center"/>
      <protection hidden="1"/>
    </xf>
    <xf numFmtId="1" fontId="46" fillId="7" borderId="60" xfId="0" applyNumberFormat="1" applyFont="1" applyFill="1" applyBorder="1" applyAlignment="1" applyProtection="1">
      <alignment horizontal="center"/>
      <protection hidden="1"/>
    </xf>
    <xf numFmtId="14" fontId="46" fillId="7" borderId="82" xfId="0" applyNumberFormat="1" applyFont="1" applyFill="1" applyBorder="1" applyAlignment="1" applyProtection="1">
      <alignment horizontal="center"/>
      <protection hidden="1"/>
    </xf>
    <xf numFmtId="10" fontId="46" fillId="7" borderId="63" xfId="0" applyNumberFormat="1" applyFont="1" applyFill="1" applyBorder="1" applyAlignment="1" applyProtection="1">
      <alignment horizontal="center"/>
      <protection hidden="1"/>
    </xf>
    <xf numFmtId="10" fontId="46" fillId="7" borderId="82" xfId="0" applyNumberFormat="1" applyFont="1" applyFill="1" applyBorder="1" applyAlignment="1" applyProtection="1">
      <alignment horizontal="center"/>
      <protection hidden="1"/>
    </xf>
    <xf numFmtId="14" fontId="46" fillId="7" borderId="63" xfId="1" applyNumberFormat="1" applyFont="1" applyFill="1" applyBorder="1" applyAlignment="1" applyProtection="1">
      <alignment horizontal="center"/>
      <protection hidden="1"/>
    </xf>
    <xf numFmtId="0" fontId="46" fillId="7" borderId="63" xfId="0" applyFont="1" applyFill="1" applyBorder="1" applyAlignment="1" applyProtection="1">
      <alignment horizontal="center"/>
      <protection hidden="1"/>
    </xf>
    <xf numFmtId="0" fontId="46" fillId="7" borderId="61" xfId="0" applyFont="1" applyFill="1" applyBorder="1" applyAlignment="1" applyProtection="1">
      <alignment horizontal="center"/>
      <protection hidden="1"/>
    </xf>
    <xf numFmtId="14" fontId="43" fillId="7" borderId="3" xfId="1" applyNumberFormat="1" applyFont="1" applyFill="1" applyBorder="1" applyAlignment="1" applyProtection="1">
      <alignment horizontal="center"/>
      <protection hidden="1"/>
    </xf>
    <xf numFmtId="0" fontId="46" fillId="7" borderId="155" xfId="0" applyFont="1" applyFill="1" applyBorder="1" applyAlignment="1" applyProtection="1">
      <alignment horizontal="center"/>
      <protection hidden="1"/>
    </xf>
    <xf numFmtId="1" fontId="46" fillId="7" borderId="151" xfId="0" applyNumberFormat="1" applyFont="1" applyFill="1" applyBorder="1" applyAlignment="1" applyProtection="1">
      <alignment horizontal="center"/>
      <protection hidden="1"/>
    </xf>
    <xf numFmtId="14" fontId="46" fillId="7" borderId="152" xfId="0" applyNumberFormat="1" applyFont="1" applyFill="1" applyBorder="1" applyAlignment="1" applyProtection="1">
      <alignment horizontal="center"/>
      <protection hidden="1"/>
    </xf>
    <xf numFmtId="10" fontId="46" fillId="7" borderId="153" xfId="0" applyNumberFormat="1" applyFont="1" applyFill="1" applyBorder="1" applyAlignment="1" applyProtection="1">
      <alignment horizontal="center"/>
      <protection hidden="1"/>
    </xf>
    <xf numFmtId="10" fontId="46" fillId="7" borderId="152" xfId="0" applyNumberFormat="1" applyFont="1" applyFill="1" applyBorder="1" applyAlignment="1" applyProtection="1">
      <alignment horizontal="center"/>
      <protection hidden="1"/>
    </xf>
    <xf numFmtId="14" fontId="46" fillId="7" borderId="153" xfId="1" applyNumberFormat="1" applyFont="1" applyFill="1" applyBorder="1" applyAlignment="1" applyProtection="1">
      <alignment horizontal="center"/>
      <protection hidden="1"/>
    </xf>
    <xf numFmtId="0" fontId="46" fillId="7" borderId="153" xfId="0" applyFont="1" applyFill="1" applyBorder="1" applyAlignment="1" applyProtection="1">
      <alignment horizontal="center"/>
      <protection hidden="1"/>
    </xf>
    <xf numFmtId="0" fontId="46" fillId="7" borderId="154" xfId="0" applyFont="1" applyFill="1" applyBorder="1" applyAlignment="1" applyProtection="1">
      <alignment horizontal="center"/>
      <protection hidden="1"/>
    </xf>
    <xf numFmtId="0" fontId="46" fillId="7" borderId="8" xfId="0" applyFont="1" applyFill="1" applyBorder="1" applyProtection="1">
      <protection hidden="1"/>
    </xf>
    <xf numFmtId="0" fontId="64" fillId="7" borderId="0" xfId="0" applyFont="1" applyFill="1" applyBorder="1" applyAlignment="1" applyProtection="1">
      <protection hidden="1"/>
    </xf>
    <xf numFmtId="0" fontId="64" fillId="7" borderId="0" xfId="0" applyFont="1" applyFill="1" applyBorder="1" applyAlignment="1" applyProtection="1">
      <alignment horizontal="center"/>
      <protection hidden="1"/>
    </xf>
    <xf numFmtId="0" fontId="65" fillId="7" borderId="0" xfId="0" applyFont="1" applyFill="1" applyBorder="1" applyProtection="1">
      <protection hidden="1"/>
    </xf>
    <xf numFmtId="0" fontId="66" fillId="7" borderId="0" xfId="0" applyFont="1" applyFill="1" applyBorder="1" applyProtection="1">
      <protection hidden="1"/>
    </xf>
    <xf numFmtId="0" fontId="66" fillId="7" borderId="0" xfId="0" applyFont="1" applyFill="1" applyBorder="1" applyAlignment="1" applyProtection="1">
      <alignment horizontal="center"/>
      <protection hidden="1"/>
    </xf>
    <xf numFmtId="167" fontId="67" fillId="11" borderId="0" xfId="0" applyNumberFormat="1" applyFont="1" applyFill="1" applyBorder="1" applyProtection="1">
      <protection hidden="1"/>
    </xf>
    <xf numFmtId="10" fontId="67" fillId="11" borderId="0" xfId="0" applyNumberFormat="1" applyFont="1" applyFill="1" applyBorder="1" applyAlignment="1" applyProtection="1">
      <alignment horizontal="center"/>
      <protection hidden="1"/>
    </xf>
    <xf numFmtId="0" fontId="67" fillId="7" borderId="0" xfId="0" applyFont="1" applyFill="1" applyBorder="1" applyProtection="1">
      <protection hidden="1"/>
    </xf>
    <xf numFmtId="166" fontId="67" fillId="11" borderId="0" xfId="0" applyNumberFormat="1" applyFont="1" applyFill="1" applyBorder="1" applyProtection="1">
      <protection hidden="1"/>
    </xf>
    <xf numFmtId="0" fontId="64" fillId="11" borderId="0" xfId="0" applyFont="1" applyFill="1" applyBorder="1" applyProtection="1">
      <protection hidden="1"/>
    </xf>
    <xf numFmtId="0" fontId="67" fillId="11" borderId="0" xfId="0" applyFont="1" applyFill="1" applyBorder="1" applyProtection="1">
      <protection hidden="1"/>
    </xf>
    <xf numFmtId="166" fontId="64" fillId="11" borderId="0" xfId="0" applyNumberFormat="1" applyFont="1" applyFill="1" applyBorder="1" applyProtection="1">
      <protection hidden="1"/>
    </xf>
    <xf numFmtId="10" fontId="64" fillId="11" borderId="0" xfId="0" applyNumberFormat="1" applyFont="1" applyFill="1" applyBorder="1" applyAlignment="1" applyProtection="1">
      <alignment horizontal="right" indent="1"/>
      <protection hidden="1"/>
    </xf>
    <xf numFmtId="10" fontId="67" fillId="11" borderId="0" xfId="0" applyNumberFormat="1" applyFont="1" applyFill="1" applyBorder="1" applyAlignment="1" applyProtection="1">
      <alignment horizontal="right" indent="1"/>
      <protection hidden="1"/>
    </xf>
    <xf numFmtId="0" fontId="67" fillId="11" borderId="0" xfId="0" applyFont="1" applyFill="1" applyBorder="1" applyAlignment="1" applyProtection="1">
      <alignment horizontal="center"/>
      <protection hidden="1"/>
    </xf>
    <xf numFmtId="1" fontId="67" fillId="11" borderId="0" xfId="0" applyNumberFormat="1" applyFont="1" applyFill="1" applyBorder="1" applyProtection="1">
      <protection hidden="1"/>
    </xf>
    <xf numFmtId="1" fontId="66" fillId="7" borderId="0" xfId="0" applyNumberFormat="1" applyFont="1" applyFill="1" applyBorder="1" applyProtection="1">
      <protection hidden="1"/>
    </xf>
    <xf numFmtId="0" fontId="68" fillId="7" borderId="0" xfId="0" applyFont="1" applyFill="1" applyBorder="1" applyProtection="1">
      <protection hidden="1"/>
    </xf>
    <xf numFmtId="167" fontId="67" fillId="7" borderId="0" xfId="0" applyNumberFormat="1" applyFont="1" applyFill="1" applyBorder="1" applyProtection="1">
      <protection hidden="1"/>
    </xf>
    <xf numFmtId="10" fontId="67" fillId="7" borderId="0" xfId="0" applyNumberFormat="1" applyFont="1" applyFill="1" applyBorder="1" applyAlignment="1" applyProtection="1">
      <alignment horizontal="center"/>
      <protection hidden="1"/>
    </xf>
    <xf numFmtId="166" fontId="67" fillId="7" borderId="0" xfId="0" applyNumberFormat="1" applyFont="1" applyFill="1" applyBorder="1" applyProtection="1">
      <protection hidden="1"/>
    </xf>
    <xf numFmtId="0" fontId="64" fillId="7" borderId="0" xfId="0" applyFont="1" applyFill="1" applyBorder="1" applyProtection="1">
      <protection hidden="1"/>
    </xf>
    <xf numFmtId="166" fontId="64" fillId="7" borderId="0" xfId="0" applyNumberFormat="1" applyFont="1" applyFill="1" applyBorder="1" applyProtection="1">
      <protection hidden="1"/>
    </xf>
    <xf numFmtId="10" fontId="64" fillId="7" borderId="0" xfId="0" applyNumberFormat="1" applyFont="1" applyFill="1" applyBorder="1" applyAlignment="1" applyProtection="1">
      <alignment horizontal="right" indent="1"/>
      <protection hidden="1"/>
    </xf>
    <xf numFmtId="10" fontId="67" fillId="7" borderId="0" xfId="0" applyNumberFormat="1" applyFont="1" applyFill="1" applyBorder="1" applyAlignment="1" applyProtection="1">
      <alignment horizontal="right" indent="1"/>
      <protection hidden="1"/>
    </xf>
    <xf numFmtId="0" fontId="66" fillId="11" borderId="0" xfId="0" applyFont="1" applyFill="1" applyBorder="1" applyProtection="1">
      <protection hidden="1"/>
    </xf>
    <xf numFmtId="0" fontId="66" fillId="11" borderId="0" xfId="0" applyFont="1" applyFill="1" applyBorder="1" applyAlignment="1" applyProtection="1">
      <alignment horizontal="center"/>
      <protection hidden="1"/>
    </xf>
    <xf numFmtId="1" fontId="66" fillId="11" borderId="0" xfId="0" applyNumberFormat="1" applyFont="1" applyFill="1" applyBorder="1" applyProtection="1">
      <protection hidden="1"/>
    </xf>
    <xf numFmtId="49" fontId="69" fillId="11" borderId="0" xfId="0" applyNumberFormat="1" applyFont="1" applyFill="1" applyBorder="1" applyAlignment="1" applyProtection="1">
      <alignment horizontal="center"/>
      <protection hidden="1"/>
    </xf>
    <xf numFmtId="9" fontId="36" fillId="21" borderId="18" xfId="0" applyNumberFormat="1" applyFont="1" applyFill="1" applyBorder="1" applyAlignment="1" applyProtection="1">
      <alignment horizontal="center"/>
      <protection hidden="1"/>
    </xf>
    <xf numFmtId="9" fontId="2" fillId="3" borderId="66" xfId="0" applyNumberFormat="1" applyFont="1" applyFill="1" applyBorder="1" applyAlignment="1" applyProtection="1">
      <alignment horizontal="center"/>
      <protection hidden="1"/>
    </xf>
    <xf numFmtId="9" fontId="2" fillId="3" borderId="59" xfId="0" applyNumberFormat="1" applyFont="1" applyFill="1" applyBorder="1" applyAlignment="1" applyProtection="1">
      <alignment horizontal="center"/>
      <protection hidden="1"/>
    </xf>
    <xf numFmtId="9" fontId="2" fillId="3" borderId="111" xfId="0" applyNumberFormat="1" applyFont="1" applyFill="1" applyBorder="1" applyAlignment="1" applyProtection="1">
      <alignment horizontal="center"/>
      <protection hidden="1"/>
    </xf>
    <xf numFmtId="0" fontId="0" fillId="11" borderId="0" xfId="0" applyFill="1" applyBorder="1"/>
    <xf numFmtId="49" fontId="54" fillId="7" borderId="8" xfId="0" applyNumberFormat="1" applyFont="1" applyFill="1" applyBorder="1" applyProtection="1">
      <protection hidden="1"/>
    </xf>
    <xf numFmtId="0" fontId="15" fillId="0" borderId="0" xfId="0" applyFont="1" applyFill="1" applyProtection="1">
      <protection hidden="1"/>
    </xf>
    <xf numFmtId="0" fontId="15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46" fillId="0" borderId="0" xfId="0" applyFont="1" applyProtection="1">
      <protection locked="0" hidden="1"/>
    </xf>
    <xf numFmtId="0" fontId="46" fillId="0" borderId="0" xfId="0" applyFont="1" applyFill="1" applyAlignment="1" applyProtection="1">
      <alignment horizontal="center"/>
      <protection locked="0" hidden="1"/>
    </xf>
    <xf numFmtId="0" fontId="1" fillId="0" borderId="0" xfId="0" applyFont="1" applyProtection="1">
      <protection locked="0" hidden="1"/>
    </xf>
    <xf numFmtId="0" fontId="0" fillId="0" borderId="0" xfId="0" applyProtection="1">
      <protection locked="0" hidden="1"/>
    </xf>
    <xf numFmtId="0" fontId="46" fillId="0" borderId="0" xfId="0" applyFont="1" applyFill="1" applyBorder="1" applyProtection="1">
      <protection locked="0" hidden="1"/>
    </xf>
    <xf numFmtId="0" fontId="46" fillId="0" borderId="0" xfId="0" applyFont="1" applyFill="1" applyBorder="1" applyAlignment="1" applyProtection="1">
      <alignment horizontal="center"/>
      <protection locked="0" hidden="1"/>
    </xf>
    <xf numFmtId="0" fontId="0" fillId="7" borderId="0" xfId="0" applyFill="1" applyProtection="1">
      <protection locked="0"/>
    </xf>
    <xf numFmtId="0" fontId="0" fillId="17" borderId="0" xfId="0" applyFill="1" applyProtection="1">
      <protection locked="0"/>
    </xf>
    <xf numFmtId="0" fontId="0" fillId="17" borderId="0" xfId="0" applyFill="1" applyAlignment="1" applyProtection="1">
      <alignment horizontal="center"/>
      <protection locked="0"/>
    </xf>
    <xf numFmtId="0" fontId="1" fillId="22" borderId="0" xfId="0" applyFont="1" applyFill="1" applyProtection="1"/>
    <xf numFmtId="0" fontId="1" fillId="22" borderId="0" xfId="0" applyFont="1" applyFill="1" applyAlignment="1" applyProtection="1">
      <alignment horizontal="center"/>
    </xf>
    <xf numFmtId="0" fontId="0" fillId="23" borderId="0" xfId="0" applyFill="1" applyProtection="1">
      <protection locked="0"/>
    </xf>
    <xf numFmtId="0" fontId="27" fillId="23" borderId="0" xfId="0" applyFont="1" applyFill="1" applyProtection="1">
      <protection locked="0"/>
    </xf>
    <xf numFmtId="0" fontId="29" fillId="23" borderId="0" xfId="0" applyFont="1" applyFill="1" applyProtection="1">
      <protection locked="0"/>
    </xf>
    <xf numFmtId="0" fontId="2" fillId="23" borderId="0" xfId="0" applyFont="1" applyFill="1" applyProtection="1">
      <protection locked="0"/>
    </xf>
    <xf numFmtId="0" fontId="33" fillId="23" borderId="0" xfId="0" applyFont="1" applyFill="1" applyAlignment="1" applyProtection="1">
      <alignment horizontal="center"/>
      <protection locked="0"/>
    </xf>
    <xf numFmtId="0" fontId="1" fillId="23" borderId="0" xfId="0" applyFont="1" applyFill="1" applyProtection="1"/>
    <xf numFmtId="0" fontId="8" fillId="22" borderId="0" xfId="0" applyFont="1" applyFill="1"/>
    <xf numFmtId="0" fontId="8" fillId="17" borderId="0" xfId="0" applyFont="1" applyFill="1"/>
    <xf numFmtId="0" fontId="25" fillId="17" borderId="0" xfId="0" applyFont="1" applyFill="1"/>
    <xf numFmtId="0" fontId="47" fillId="7" borderId="103" xfId="0" applyFont="1" applyFill="1" applyBorder="1" applyProtection="1">
      <protection hidden="1"/>
    </xf>
    <xf numFmtId="0" fontId="47" fillId="22" borderId="0" xfId="0" applyFont="1" applyFill="1" applyProtection="1">
      <protection hidden="1"/>
    </xf>
    <xf numFmtId="1" fontId="47" fillId="22" borderId="0" xfId="0" applyNumberFormat="1" applyFont="1" applyFill="1" applyAlignment="1" applyProtection="1">
      <alignment horizontal="center"/>
      <protection hidden="1"/>
    </xf>
    <xf numFmtId="0" fontId="47" fillId="22" borderId="0" xfId="0" applyFont="1" applyFill="1" applyAlignment="1" applyProtection="1">
      <alignment horizontal="center"/>
      <protection hidden="1"/>
    </xf>
    <xf numFmtId="0" fontId="47" fillId="22" borderId="0" xfId="0" applyNumberFormat="1" applyFont="1" applyFill="1" applyAlignment="1" applyProtection="1">
      <alignment horizontal="center"/>
      <protection hidden="1"/>
    </xf>
    <xf numFmtId="0" fontId="46" fillId="22" borderId="0" xfId="0" applyFont="1" applyFill="1" applyProtection="1">
      <protection hidden="1"/>
    </xf>
    <xf numFmtId="0" fontId="55" fillId="22" borderId="0" xfId="0" applyFont="1" applyFill="1" applyProtection="1">
      <protection hidden="1"/>
    </xf>
    <xf numFmtId="0" fontId="45" fillId="17" borderId="0" xfId="0" applyFont="1" applyFill="1" applyBorder="1" applyProtection="1">
      <protection hidden="1"/>
    </xf>
    <xf numFmtId="0" fontId="46" fillId="17" borderId="0" xfId="0" applyFont="1" applyFill="1" applyBorder="1" applyProtection="1">
      <protection hidden="1"/>
    </xf>
    <xf numFmtId="0" fontId="46" fillId="17" borderId="0" xfId="0" applyFont="1" applyFill="1" applyBorder="1" applyAlignment="1" applyProtection="1">
      <alignment horizontal="center"/>
      <protection hidden="1"/>
    </xf>
    <xf numFmtId="0" fontId="46" fillId="17" borderId="0" xfId="0" applyFont="1" applyFill="1" applyProtection="1">
      <protection hidden="1"/>
    </xf>
    <xf numFmtId="0" fontId="18" fillId="22" borderId="0" xfId="0" applyFont="1" applyFill="1"/>
    <xf numFmtId="0" fontId="0" fillId="22" borderId="0" xfId="0" applyFill="1"/>
    <xf numFmtId="0" fontId="0" fillId="17" borderId="0" xfId="0" applyFill="1"/>
    <xf numFmtId="0" fontId="0" fillId="17" borderId="0" xfId="0" applyFill="1" applyBorder="1"/>
    <xf numFmtId="0" fontId="15" fillId="22" borderId="14" xfId="0" applyFont="1" applyFill="1" applyBorder="1" applyProtection="1">
      <protection locked="0"/>
    </xf>
    <xf numFmtId="0" fontId="3" fillId="22" borderId="14" xfId="0" applyFont="1" applyFill="1" applyBorder="1" applyProtection="1">
      <protection locked="0"/>
    </xf>
    <xf numFmtId="0" fontId="15" fillId="22" borderId="14" xfId="0" applyFont="1" applyFill="1" applyBorder="1" applyAlignment="1" applyProtection="1">
      <alignment horizontal="center"/>
      <protection locked="0"/>
    </xf>
    <xf numFmtId="1" fontId="15" fillId="22" borderId="14" xfId="0" applyNumberFormat="1" applyFont="1" applyFill="1" applyBorder="1" applyProtection="1">
      <protection locked="0"/>
    </xf>
    <xf numFmtId="0" fontId="15" fillId="22" borderId="0" xfId="0" applyFont="1" applyFill="1" applyProtection="1">
      <protection locked="0"/>
    </xf>
    <xf numFmtId="0" fontId="29" fillId="17" borderId="0" xfId="0" applyFont="1" applyFill="1" applyProtection="1">
      <protection locked="0"/>
    </xf>
    <xf numFmtId="0" fontId="2" fillId="17" borderId="0" xfId="0" applyFont="1" applyFill="1" applyProtection="1">
      <protection locked="0"/>
    </xf>
    <xf numFmtId="0" fontId="33" fillId="17" borderId="0" xfId="0" applyFont="1" applyFill="1" applyAlignment="1" applyProtection="1">
      <alignment horizontal="center"/>
      <protection locked="0"/>
    </xf>
    <xf numFmtId="0" fontId="15" fillId="22" borderId="0" xfId="0" applyFont="1" applyFill="1" applyProtection="1"/>
    <xf numFmtId="0" fontId="3" fillId="22" borderId="0" xfId="0" applyFont="1" applyFill="1" applyProtection="1"/>
    <xf numFmtId="0" fontId="15" fillId="22" borderId="0" xfId="0" applyFont="1" applyFill="1" applyAlignment="1" applyProtection="1">
      <alignment horizontal="center"/>
    </xf>
    <xf numFmtId="1" fontId="15" fillId="22" borderId="0" xfId="0" applyNumberFormat="1" applyFont="1" applyFill="1" applyProtection="1"/>
    <xf numFmtId="0" fontId="17" fillId="22" borderId="0" xfId="0" applyFont="1" applyFill="1" applyProtection="1"/>
    <xf numFmtId="0" fontId="23" fillId="17" borderId="0" xfId="0" applyFont="1" applyFill="1" applyProtection="1"/>
    <xf numFmtId="0" fontId="31" fillId="17" borderId="0" xfId="0" applyFont="1" applyFill="1" applyProtection="1"/>
    <xf numFmtId="0" fontId="51" fillId="17" borderId="0" xfId="0" applyFont="1" applyFill="1" applyAlignment="1" applyProtection="1">
      <alignment horizontal="center"/>
    </xf>
    <xf numFmtId="0" fontId="71" fillId="0" borderId="0" xfId="0" applyFont="1"/>
    <xf numFmtId="0" fontId="72" fillId="0" borderId="0" xfId="0" applyFont="1"/>
    <xf numFmtId="1" fontId="41" fillId="12" borderId="0" xfId="0" applyNumberFormat="1" applyFont="1" applyFill="1" applyAlignment="1">
      <alignment horizontal="center"/>
    </xf>
    <xf numFmtId="0" fontId="55" fillId="0" borderId="77" xfId="0" applyFont="1" applyBorder="1" applyProtection="1">
      <protection hidden="1"/>
    </xf>
    <xf numFmtId="1" fontId="73" fillId="0" borderId="77" xfId="0" applyNumberFormat="1" applyFont="1" applyFill="1" applyBorder="1" applyAlignment="1" applyProtection="1">
      <alignment horizontal="center"/>
      <protection hidden="1"/>
    </xf>
    <xf numFmtId="0" fontId="40" fillId="10" borderId="174" xfId="0" applyFont="1" applyFill="1" applyBorder="1" applyAlignment="1">
      <alignment horizontal="center"/>
    </xf>
    <xf numFmtId="0" fontId="45" fillId="0" borderId="0" xfId="0" applyFont="1" applyFill="1" applyBorder="1" applyProtection="1">
      <protection hidden="1"/>
    </xf>
    <xf numFmtId="0" fontId="45" fillId="17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locked="0" hidden="1"/>
    </xf>
    <xf numFmtId="0" fontId="2" fillId="0" borderId="0" xfId="0" applyFont="1" applyProtection="1">
      <protection locked="0" hidden="1"/>
    </xf>
    <xf numFmtId="0" fontId="71" fillId="0" borderId="0" xfId="0" applyFont="1" applyFill="1" applyProtection="1">
      <protection locked="0" hidden="1"/>
    </xf>
    <xf numFmtId="0" fontId="71" fillId="0" borderId="0" xfId="0" applyFont="1" applyProtection="1">
      <protection locked="0" hidden="1"/>
    </xf>
    <xf numFmtId="0" fontId="72" fillId="0" borderId="0" xfId="0" applyFont="1" applyFill="1" applyProtection="1">
      <protection locked="0" hidden="1"/>
    </xf>
    <xf numFmtId="0" fontId="72" fillId="0" borderId="0" xfId="0" applyFont="1" applyProtection="1">
      <protection locked="0" hidden="1"/>
    </xf>
    <xf numFmtId="0" fontId="33" fillId="7" borderId="0" xfId="0" applyFont="1" applyFill="1" applyBorder="1" applyAlignment="1" applyProtection="1">
      <alignment horizontal="center"/>
      <protection hidden="1"/>
    </xf>
    <xf numFmtId="0" fontId="46" fillId="10" borderId="136" xfId="0" applyFont="1" applyFill="1" applyBorder="1" applyProtection="1">
      <protection hidden="1"/>
    </xf>
    <xf numFmtId="0" fontId="46" fillId="7" borderId="93" xfId="0" applyFont="1" applyFill="1" applyBorder="1" applyProtection="1">
      <protection hidden="1"/>
    </xf>
    <xf numFmtId="0" fontId="46" fillId="7" borderId="49" xfId="0" applyFont="1" applyFill="1" applyBorder="1" applyAlignment="1" applyProtection="1">
      <protection hidden="1"/>
    </xf>
    <xf numFmtId="0" fontId="46" fillId="7" borderId="49" xfId="0" applyFont="1" applyFill="1" applyBorder="1" applyProtection="1">
      <protection hidden="1"/>
    </xf>
    <xf numFmtId="0" fontId="63" fillId="7" borderId="49" xfId="0" applyFont="1" applyFill="1" applyBorder="1" applyProtection="1">
      <protection hidden="1"/>
    </xf>
    <xf numFmtId="0" fontId="63" fillId="7" borderId="64" xfId="0" applyFont="1" applyFill="1" applyBorder="1" applyAlignment="1" applyProtection="1">
      <alignment horizontal="center"/>
      <protection hidden="1"/>
    </xf>
    <xf numFmtId="0" fontId="63" fillId="7" borderId="175" xfId="0" applyFont="1" applyFill="1" applyBorder="1" applyAlignment="1" applyProtection="1">
      <alignment horizontal="center"/>
      <protection hidden="1"/>
    </xf>
    <xf numFmtId="0" fontId="29" fillId="10" borderId="176" xfId="0" applyFont="1" applyFill="1" applyBorder="1" applyProtection="1">
      <protection hidden="1"/>
    </xf>
    <xf numFmtId="0" fontId="2" fillId="3" borderId="156" xfId="0" applyFont="1" applyFill="1" applyBorder="1" applyAlignment="1" applyProtection="1">
      <alignment horizontal="center"/>
      <protection hidden="1"/>
    </xf>
    <xf numFmtId="10" fontId="2" fillId="3" borderId="73" xfId="0" applyNumberFormat="1" applyFont="1" applyFill="1" applyBorder="1" applyAlignment="1" applyProtection="1">
      <alignment horizontal="center"/>
      <protection hidden="1"/>
    </xf>
    <xf numFmtId="10" fontId="2" fillId="3" borderId="177" xfId="0" applyNumberFormat="1" applyFont="1" applyFill="1" applyBorder="1" applyAlignment="1" applyProtection="1">
      <alignment horizontal="center"/>
      <protection hidden="1"/>
    </xf>
    <xf numFmtId="0" fontId="27" fillId="7" borderId="77" xfId="0" applyFont="1" applyFill="1" applyBorder="1" applyProtection="1">
      <protection locked="0"/>
    </xf>
    <xf numFmtId="0" fontId="29" fillId="7" borderId="77" xfId="0" applyFont="1" applyFill="1" applyBorder="1" applyProtection="1">
      <protection locked="0"/>
    </xf>
    <xf numFmtId="0" fontId="2" fillId="7" borderId="77" xfId="0" applyFont="1" applyFill="1" applyBorder="1" applyProtection="1">
      <protection locked="0"/>
    </xf>
    <xf numFmtId="0" fontId="33" fillId="7" borderId="77" xfId="0" applyFont="1" applyFill="1" applyBorder="1" applyAlignment="1" applyProtection="1">
      <alignment horizontal="center"/>
      <protection locked="0"/>
    </xf>
    <xf numFmtId="0" fontId="1" fillId="7" borderId="54" xfId="0" applyFont="1" applyFill="1" applyBorder="1" applyProtection="1"/>
    <xf numFmtId="0" fontId="0" fillId="7" borderId="0" xfId="0" applyFont="1" applyFill="1" applyBorder="1" applyProtection="1">
      <protection hidden="1"/>
    </xf>
    <xf numFmtId="0" fontId="33" fillId="7" borderId="0" xfId="0" applyFont="1" applyFill="1" applyBorder="1" applyAlignment="1" applyProtection="1">
      <alignment horizontal="center"/>
      <protection hidden="1"/>
    </xf>
    <xf numFmtId="0" fontId="2" fillId="0" borderId="0" xfId="0" applyFont="1" applyProtection="1">
      <protection locked="0"/>
    </xf>
    <xf numFmtId="0" fontId="15" fillId="0" borderId="0" xfId="0" applyFont="1" applyProtection="1"/>
    <xf numFmtId="0" fontId="15" fillId="0" borderId="0" xfId="0" applyFont="1" applyProtection="1">
      <protection locked="0"/>
    </xf>
    <xf numFmtId="167" fontId="29" fillId="7" borderId="0" xfId="0" applyNumberFormat="1" applyFont="1" applyFill="1" applyBorder="1" applyAlignment="1" applyProtection="1">
      <alignment horizontal="right"/>
      <protection hidden="1"/>
    </xf>
    <xf numFmtId="10" fontId="29" fillId="7" borderId="0" xfId="0" applyNumberFormat="1" applyFont="1" applyFill="1" applyBorder="1" applyAlignment="1" applyProtection="1">
      <alignment horizontal="center"/>
      <protection hidden="1"/>
    </xf>
    <xf numFmtId="0" fontId="0" fillId="7" borderId="0" xfId="0" applyFont="1" applyFill="1" applyBorder="1" applyProtection="1">
      <protection locked="0"/>
    </xf>
    <xf numFmtId="172" fontId="2" fillId="3" borderId="75" xfId="0" applyNumberFormat="1" applyFont="1" applyFill="1" applyBorder="1" applyAlignment="1" applyProtection="1">
      <alignment horizontal="right"/>
      <protection hidden="1"/>
    </xf>
    <xf numFmtId="172" fontId="2" fillId="3" borderId="71" xfId="0" applyNumberFormat="1" applyFont="1" applyFill="1" applyBorder="1" applyAlignment="1" applyProtection="1">
      <alignment horizontal="right"/>
      <protection hidden="1"/>
    </xf>
    <xf numFmtId="172" fontId="2" fillId="3" borderId="88" xfId="0" applyNumberFormat="1" applyFont="1" applyFill="1" applyBorder="1" applyAlignment="1" applyProtection="1">
      <alignment horizontal="right"/>
      <protection hidden="1"/>
    </xf>
    <xf numFmtId="172" fontId="2" fillId="3" borderId="128" xfId="0" applyNumberFormat="1" applyFont="1" applyFill="1" applyBorder="1" applyAlignment="1" applyProtection="1">
      <alignment horizontal="right"/>
      <protection hidden="1"/>
    </xf>
    <xf numFmtId="172" fontId="2" fillId="3" borderId="113" xfId="0" applyNumberFormat="1" applyFont="1" applyFill="1" applyBorder="1" applyAlignment="1" applyProtection="1">
      <alignment horizontal="right"/>
      <protection hidden="1"/>
    </xf>
    <xf numFmtId="172" fontId="2" fillId="3" borderId="110" xfId="0" applyNumberFormat="1" applyFont="1" applyFill="1" applyBorder="1" applyAlignment="1" applyProtection="1">
      <alignment horizontal="right"/>
      <protection hidden="1"/>
    </xf>
    <xf numFmtId="172" fontId="2" fillId="3" borderId="52" xfId="0" applyNumberFormat="1" applyFont="1" applyFill="1" applyBorder="1" applyAlignment="1" applyProtection="1">
      <alignment horizontal="right"/>
      <protection hidden="1"/>
    </xf>
    <xf numFmtId="172" fontId="2" fillId="3" borderId="57" xfId="0" applyNumberFormat="1" applyFont="1" applyFill="1" applyBorder="1" applyAlignment="1" applyProtection="1">
      <alignment horizontal="right"/>
      <protection hidden="1"/>
    </xf>
    <xf numFmtId="40" fontId="2" fillId="3" borderId="67" xfId="0" applyNumberFormat="1" applyFont="1" applyFill="1" applyBorder="1" applyAlignment="1" applyProtection="1">
      <alignment horizontal="right"/>
      <protection hidden="1"/>
    </xf>
    <xf numFmtId="10" fontId="2" fillId="11" borderId="8" xfId="0" applyNumberFormat="1" applyFont="1" applyFill="1" applyBorder="1" applyAlignment="1" applyProtection="1">
      <alignment horizontal="center"/>
      <protection hidden="1"/>
    </xf>
    <xf numFmtId="10" fontId="30" fillId="7" borderId="0" xfId="0" applyNumberFormat="1" applyFont="1" applyFill="1" applyBorder="1" applyAlignment="1" applyProtection="1">
      <alignment horizontal="left" indent="1"/>
      <protection hidden="1"/>
    </xf>
    <xf numFmtId="167" fontId="37" fillId="7" borderId="0" xfId="0" applyNumberFormat="1" applyFont="1" applyFill="1" applyBorder="1" applyAlignment="1" applyProtection="1">
      <alignment horizontal="center"/>
      <protection hidden="1"/>
    </xf>
    <xf numFmtId="172" fontId="2" fillId="3" borderId="59" xfId="0" applyNumberFormat="1" applyFont="1" applyFill="1" applyBorder="1" applyAlignment="1" applyProtection="1">
      <alignment horizontal="right"/>
      <protection hidden="1"/>
    </xf>
    <xf numFmtId="172" fontId="2" fillId="3" borderId="69" xfId="0" applyNumberFormat="1" applyFont="1" applyFill="1" applyBorder="1" applyAlignment="1" applyProtection="1">
      <alignment horizontal="right"/>
      <protection hidden="1"/>
    </xf>
    <xf numFmtId="0" fontId="0" fillId="7" borderId="0" xfId="0" applyFont="1" applyFill="1" applyBorder="1" applyAlignment="1" applyProtection="1">
      <alignment horizontal="center"/>
      <protection hidden="1"/>
    </xf>
    <xf numFmtId="10" fontId="75" fillId="7" borderId="0" xfId="0" applyNumberFormat="1" applyFont="1" applyFill="1" applyBorder="1" applyAlignment="1" applyProtection="1">
      <alignment horizontal="left"/>
      <protection hidden="1"/>
    </xf>
    <xf numFmtId="167" fontId="75" fillId="7" borderId="0" xfId="0" applyNumberFormat="1" applyFont="1" applyFill="1" applyBorder="1" applyAlignment="1" applyProtection="1">
      <alignment horizontal="center"/>
      <protection hidden="1"/>
    </xf>
    <xf numFmtId="0" fontId="35" fillId="7" borderId="0" xfId="0" applyFont="1" applyFill="1" applyBorder="1" applyAlignment="1" applyProtection="1">
      <alignment horizontal="center"/>
      <protection hidden="1"/>
    </xf>
    <xf numFmtId="0" fontId="35" fillId="7" borderId="0" xfId="0" applyFont="1" applyFill="1" applyBorder="1" applyProtection="1">
      <protection hidden="1"/>
    </xf>
    <xf numFmtId="1" fontId="0" fillId="7" borderId="8" xfId="0" applyNumberFormat="1" applyFill="1" applyBorder="1" applyProtection="1">
      <protection locked="0"/>
    </xf>
    <xf numFmtId="0" fontId="0" fillId="11" borderId="0" xfId="0" applyFill="1" applyBorder="1" applyProtection="1">
      <protection locked="0"/>
    </xf>
    <xf numFmtId="164" fontId="2" fillId="3" borderId="69" xfId="0" applyNumberFormat="1" applyFont="1" applyFill="1" applyBorder="1" applyProtection="1">
      <protection hidden="1"/>
    </xf>
    <xf numFmtId="0" fontId="2" fillId="7" borderId="0" xfId="0" applyFont="1" applyFill="1" applyProtection="1">
      <protection locked="0"/>
    </xf>
    <xf numFmtId="164" fontId="2" fillId="3" borderId="57" xfId="0" applyNumberFormat="1" applyFont="1" applyFill="1" applyBorder="1" applyAlignment="1" applyProtection="1">
      <alignment horizontal="right"/>
      <protection hidden="1"/>
    </xf>
    <xf numFmtId="164" fontId="2" fillId="3" borderId="50" xfId="0" applyNumberFormat="1" applyFont="1" applyFill="1" applyBorder="1" applyAlignment="1" applyProtection="1">
      <alignment horizontal="right"/>
      <protection hidden="1"/>
    </xf>
    <xf numFmtId="164" fontId="2" fillId="3" borderId="51" xfId="0" applyNumberFormat="1" applyFont="1" applyFill="1" applyBorder="1" applyAlignment="1" applyProtection="1">
      <alignment horizontal="right"/>
      <protection hidden="1"/>
    </xf>
    <xf numFmtId="173" fontId="2" fillId="3" borderId="59" xfId="0" applyNumberFormat="1" applyFont="1" applyFill="1" applyBorder="1" applyAlignment="1" applyProtection="1">
      <alignment horizontal="right"/>
    </xf>
    <xf numFmtId="173" fontId="2" fillId="3" borderId="69" xfId="0" applyNumberFormat="1" applyFont="1" applyFill="1" applyBorder="1" applyAlignment="1" applyProtection="1">
      <alignment horizontal="right"/>
    </xf>
    <xf numFmtId="173" fontId="2" fillId="3" borderId="128" xfId="0" applyNumberFormat="1" applyFont="1" applyFill="1" applyBorder="1" applyAlignment="1" applyProtection="1">
      <alignment horizontal="right"/>
    </xf>
    <xf numFmtId="173" fontId="2" fillId="3" borderId="113" xfId="0" applyNumberFormat="1" applyFont="1" applyFill="1" applyBorder="1" applyAlignment="1" applyProtection="1">
      <alignment horizontal="right"/>
    </xf>
    <xf numFmtId="173" fontId="2" fillId="3" borderId="110" xfId="0" applyNumberFormat="1" applyFont="1" applyFill="1" applyBorder="1" applyAlignment="1" applyProtection="1">
      <alignment horizontal="right"/>
    </xf>
    <xf numFmtId="0" fontId="33" fillId="7" borderId="0" xfId="0" applyFont="1" applyFill="1" applyBorder="1" applyAlignment="1" applyProtection="1">
      <alignment horizontal="center"/>
      <protection hidden="1"/>
    </xf>
    <xf numFmtId="0" fontId="27" fillId="7" borderId="0" xfId="0" applyFont="1" applyFill="1" applyProtection="1">
      <protection locked="0"/>
    </xf>
    <xf numFmtId="0" fontId="76" fillId="7" borderId="0" xfId="0" applyFont="1" applyFill="1" applyBorder="1" applyAlignment="1" applyProtection="1">
      <alignment horizontal="center"/>
      <protection hidden="1"/>
    </xf>
    <xf numFmtId="0" fontId="15" fillId="22" borderId="0" xfId="0" applyFont="1" applyFill="1" applyBorder="1" applyProtection="1">
      <protection locked="0"/>
    </xf>
    <xf numFmtId="0" fontId="29" fillId="7" borderId="54" xfId="0" applyFont="1" applyFill="1" applyBorder="1" applyProtection="1">
      <protection hidden="1"/>
    </xf>
    <xf numFmtId="10" fontId="0" fillId="7" borderId="0" xfId="0" applyNumberFormat="1" applyFont="1" applyFill="1" applyBorder="1" applyAlignment="1" applyProtection="1">
      <alignment horizontal="center"/>
      <protection hidden="1"/>
    </xf>
    <xf numFmtId="172" fontId="2" fillId="3" borderId="50" xfId="0" applyNumberFormat="1" applyFont="1" applyFill="1" applyBorder="1" applyAlignment="1" applyProtection="1">
      <alignment horizontal="right"/>
    </xf>
    <xf numFmtId="172" fontId="2" fillId="3" borderId="51" xfId="0" applyNumberFormat="1" applyFont="1" applyFill="1" applyBorder="1" applyAlignment="1" applyProtection="1">
      <alignment horizontal="right"/>
    </xf>
    <xf numFmtId="172" fontId="2" fillId="3" borderId="57" xfId="0" applyNumberFormat="1" applyFont="1" applyFill="1" applyBorder="1" applyAlignment="1" applyProtection="1">
      <alignment horizontal="right"/>
    </xf>
    <xf numFmtId="172" fontId="2" fillId="3" borderId="49" xfId="0" applyNumberFormat="1" applyFont="1" applyFill="1" applyBorder="1" applyAlignment="1" applyProtection="1">
      <alignment horizontal="right"/>
    </xf>
    <xf numFmtId="172" fontId="2" fillId="3" borderId="70" xfId="0" applyNumberFormat="1" applyFont="1" applyFill="1" applyBorder="1" applyAlignment="1" applyProtection="1">
      <alignment horizontal="right"/>
    </xf>
    <xf numFmtId="0" fontId="33" fillId="7" borderId="0" xfId="0" applyFont="1" applyFill="1" applyBorder="1" applyAlignment="1" applyProtection="1">
      <alignment horizontal="center"/>
      <protection hidden="1"/>
    </xf>
    <xf numFmtId="10" fontId="46" fillId="7" borderId="72" xfId="1" applyNumberFormat="1" applyFont="1" applyFill="1" applyBorder="1" applyAlignment="1" applyProtection="1">
      <alignment horizontal="center"/>
      <protection hidden="1"/>
    </xf>
    <xf numFmtId="10" fontId="46" fillId="7" borderId="58" xfId="1" applyNumberFormat="1" applyFont="1" applyFill="1" applyBorder="1" applyAlignment="1" applyProtection="1">
      <alignment horizontal="center"/>
      <protection hidden="1"/>
    </xf>
    <xf numFmtId="10" fontId="46" fillId="7" borderId="153" xfId="1" applyNumberFormat="1" applyFont="1" applyFill="1" applyBorder="1" applyAlignment="1" applyProtection="1">
      <alignment horizontal="center"/>
      <protection hidden="1"/>
    </xf>
    <xf numFmtId="173" fontId="2" fillId="3" borderId="57" xfId="0" applyNumberFormat="1" applyFont="1" applyFill="1" applyBorder="1" applyAlignment="1" applyProtection="1">
      <alignment horizontal="right"/>
      <protection hidden="1"/>
    </xf>
    <xf numFmtId="173" fontId="2" fillId="3" borderId="49" xfId="0" applyNumberFormat="1" applyFont="1" applyFill="1" applyBorder="1" applyAlignment="1" applyProtection="1">
      <alignment horizontal="right"/>
      <protection hidden="1"/>
    </xf>
    <xf numFmtId="173" fontId="2" fillId="3" borderId="67" xfId="0" applyNumberFormat="1" applyFont="1" applyFill="1" applyBorder="1" applyAlignment="1" applyProtection="1">
      <alignment horizontal="right"/>
      <protection hidden="1"/>
    </xf>
    <xf numFmtId="173" fontId="2" fillId="3" borderId="59" xfId="0" applyNumberFormat="1" applyFont="1" applyFill="1" applyBorder="1" applyAlignment="1" applyProtection="1">
      <alignment horizontal="right"/>
      <protection hidden="1"/>
    </xf>
    <xf numFmtId="173" fontId="2" fillId="3" borderId="69" xfId="0" applyNumberFormat="1" applyFont="1" applyFill="1" applyBorder="1" applyAlignment="1" applyProtection="1">
      <alignment horizontal="right"/>
      <protection hidden="1"/>
    </xf>
    <xf numFmtId="173" fontId="2" fillId="3" borderId="88" xfId="0" applyNumberFormat="1" applyFont="1" applyFill="1" applyBorder="1" applyAlignment="1" applyProtection="1">
      <alignment horizontal="center"/>
      <protection hidden="1"/>
    </xf>
    <xf numFmtId="173" fontId="2" fillId="3" borderId="75" xfId="0" applyNumberFormat="1" applyFont="1" applyFill="1" applyBorder="1" applyAlignment="1" applyProtection="1">
      <alignment horizontal="right"/>
      <protection hidden="1"/>
    </xf>
    <xf numFmtId="0" fontId="29" fillId="7" borderId="8" xfId="0" applyFont="1" applyFill="1" applyBorder="1" applyAlignment="1" applyProtection="1">
      <alignment horizontal="center"/>
      <protection hidden="1"/>
    </xf>
    <xf numFmtId="173" fontId="2" fillId="11" borderId="0" xfId="0" applyNumberFormat="1" applyFont="1" applyFill="1" applyBorder="1" applyAlignment="1" applyProtection="1">
      <alignment horizontal="right"/>
      <protection hidden="1"/>
    </xf>
    <xf numFmtId="0" fontId="2" fillId="7" borderId="0" xfId="0" applyFont="1" applyFill="1" applyBorder="1" applyProtection="1">
      <protection locked="0"/>
    </xf>
    <xf numFmtId="0" fontId="33" fillId="7" borderId="0" xfId="0" applyFont="1" applyFill="1" applyBorder="1" applyAlignment="1" applyProtection="1">
      <alignment horizontal="center"/>
      <protection locked="0"/>
    </xf>
    <xf numFmtId="0" fontId="29" fillId="7" borderId="0" xfId="0" applyFont="1" applyFill="1" applyBorder="1" applyProtection="1">
      <protection locked="0"/>
    </xf>
    <xf numFmtId="0" fontId="33" fillId="7" borderId="0" xfId="0" applyFont="1" applyFill="1" applyBorder="1" applyAlignment="1" applyProtection="1">
      <alignment horizontal="center"/>
      <protection hidden="1"/>
    </xf>
    <xf numFmtId="0" fontId="40" fillId="10" borderId="94" xfId="0" applyFont="1" applyFill="1" applyBorder="1" applyAlignment="1">
      <alignment horizontal="left"/>
    </xf>
    <xf numFmtId="0" fontId="40" fillId="18" borderId="79" xfId="0" applyFont="1" applyFill="1" applyBorder="1" applyAlignment="1">
      <alignment horizontal="center"/>
    </xf>
    <xf numFmtId="1" fontId="56" fillId="18" borderId="80" xfId="0" applyNumberFormat="1" applyFont="1" applyFill="1" applyBorder="1" applyAlignment="1">
      <alignment horizontal="center"/>
    </xf>
    <xf numFmtId="1" fontId="40" fillId="18" borderId="80" xfId="0" applyNumberFormat="1" applyFont="1" applyFill="1" applyBorder="1" applyAlignment="1">
      <alignment horizontal="center"/>
    </xf>
    <xf numFmtId="1" fontId="40" fillId="18" borderId="81" xfId="0" applyNumberFormat="1" applyFont="1" applyFill="1" applyBorder="1" applyAlignment="1">
      <alignment horizontal="center"/>
    </xf>
    <xf numFmtId="0" fontId="40" fillId="10" borderId="179" xfId="0" applyFont="1" applyFill="1" applyBorder="1" applyAlignment="1">
      <alignment horizontal="left"/>
    </xf>
    <xf numFmtId="0" fontId="40" fillId="18" borderId="95" xfId="0" applyFont="1" applyFill="1" applyBorder="1" applyAlignment="1">
      <alignment horizontal="center"/>
    </xf>
    <xf numFmtId="1" fontId="56" fillId="18" borderId="96" xfId="0" applyNumberFormat="1" applyFont="1" applyFill="1" applyBorder="1" applyAlignment="1">
      <alignment horizontal="center"/>
    </xf>
    <xf numFmtId="1" fontId="40" fillId="18" borderId="96" xfId="0" applyNumberFormat="1" applyFont="1" applyFill="1" applyBorder="1" applyAlignment="1">
      <alignment horizontal="center"/>
    </xf>
    <xf numFmtId="1" fontId="40" fillId="18" borderId="97" xfId="0" applyNumberFormat="1" applyFont="1" applyFill="1" applyBorder="1" applyAlignment="1">
      <alignment horizontal="center"/>
    </xf>
    <xf numFmtId="0" fontId="2" fillId="11" borderId="8" xfId="0" applyFont="1" applyFill="1" applyBorder="1" applyProtection="1">
      <protection hidden="1"/>
    </xf>
    <xf numFmtId="10" fontId="3" fillId="11" borderId="8" xfId="0" applyNumberFormat="1" applyFont="1" applyFill="1" applyBorder="1" applyAlignment="1" applyProtection="1">
      <alignment horizontal="center"/>
      <protection hidden="1"/>
    </xf>
    <xf numFmtId="10" fontId="3" fillId="11" borderId="0" xfId="0" applyNumberFormat="1" applyFont="1" applyFill="1" applyBorder="1" applyAlignment="1" applyProtection="1">
      <alignment horizontal="center"/>
      <protection hidden="1"/>
    </xf>
    <xf numFmtId="0" fontId="33" fillId="10" borderId="180" xfId="0" applyFont="1" applyFill="1" applyBorder="1" applyAlignment="1" applyProtection="1">
      <alignment horizontal="center"/>
      <protection hidden="1"/>
    </xf>
    <xf numFmtId="0" fontId="33" fillId="10" borderId="181" xfId="0" applyFont="1" applyFill="1" applyBorder="1" applyAlignment="1" applyProtection="1">
      <alignment horizontal="center"/>
      <protection hidden="1"/>
    </xf>
    <xf numFmtId="0" fontId="33" fillId="10" borderId="183" xfId="0" applyFont="1" applyFill="1" applyBorder="1" applyAlignment="1" applyProtection="1">
      <alignment horizontal="center"/>
      <protection hidden="1"/>
    </xf>
    <xf numFmtId="0" fontId="29" fillId="10" borderId="185" xfId="0" applyFont="1" applyFill="1" applyBorder="1" applyProtection="1">
      <protection hidden="1"/>
    </xf>
    <xf numFmtId="10" fontId="2" fillId="3" borderId="187" xfId="0" applyNumberFormat="1" applyFont="1" applyFill="1" applyBorder="1" applyAlignment="1" applyProtection="1">
      <alignment horizontal="center"/>
      <protection hidden="1"/>
    </xf>
    <xf numFmtId="165" fontId="2" fillId="3" borderId="188" xfId="0" applyNumberFormat="1" applyFont="1" applyFill="1" applyBorder="1" applyAlignment="1" applyProtection="1">
      <alignment horizontal="right"/>
      <protection hidden="1"/>
    </xf>
    <xf numFmtId="10" fontId="2" fillId="3" borderId="189" xfId="0" applyNumberFormat="1" applyFont="1" applyFill="1" applyBorder="1" applyAlignment="1" applyProtection="1">
      <alignment horizontal="center"/>
      <protection hidden="1"/>
    </xf>
    <xf numFmtId="173" fontId="2" fillId="3" borderId="70" xfId="0" applyNumberFormat="1" applyFont="1" applyFill="1" applyBorder="1" applyAlignment="1" applyProtection="1">
      <alignment horizontal="right"/>
      <protection hidden="1"/>
    </xf>
    <xf numFmtId="0" fontId="33" fillId="10" borderId="83" xfId="0" applyFont="1" applyFill="1" applyBorder="1" applyAlignment="1" applyProtection="1">
      <alignment horizontal="center"/>
      <protection hidden="1"/>
    </xf>
    <xf numFmtId="0" fontId="33" fillId="10" borderId="6" xfId="0" applyFont="1" applyFill="1" applyBorder="1" applyAlignment="1" applyProtection="1">
      <alignment horizontal="center"/>
      <protection hidden="1"/>
    </xf>
    <xf numFmtId="0" fontId="29" fillId="10" borderId="55" xfId="0" applyFont="1" applyFill="1" applyBorder="1" applyAlignment="1" applyProtection="1">
      <alignment horizontal="center"/>
      <protection hidden="1"/>
    </xf>
    <xf numFmtId="10" fontId="33" fillId="13" borderId="182" xfId="0" applyNumberFormat="1" applyFont="1" applyFill="1" applyBorder="1" applyAlignment="1" applyProtection="1">
      <alignment horizontal="center"/>
      <protection hidden="1"/>
    </xf>
    <xf numFmtId="0" fontId="29" fillId="10" borderId="184" xfId="0" applyFont="1" applyFill="1" applyBorder="1" applyProtection="1">
      <protection hidden="1"/>
    </xf>
    <xf numFmtId="10" fontId="2" fillId="3" borderId="186" xfId="0" applyNumberFormat="1" applyFont="1" applyFill="1" applyBorder="1" applyAlignment="1" applyProtection="1">
      <alignment horizontal="center"/>
      <protection hidden="1"/>
    </xf>
    <xf numFmtId="0" fontId="33" fillId="10" borderId="190" xfId="0" applyFont="1" applyFill="1" applyBorder="1" applyAlignment="1" applyProtection="1">
      <alignment horizontal="center"/>
      <protection hidden="1"/>
    </xf>
    <xf numFmtId="10" fontId="2" fillId="3" borderId="109" xfId="0" applyNumberFormat="1" applyFont="1" applyFill="1" applyBorder="1" applyAlignment="1" applyProtection="1">
      <alignment horizontal="center"/>
      <protection hidden="1"/>
    </xf>
    <xf numFmtId="10" fontId="2" fillId="3" borderId="78" xfId="0" applyNumberFormat="1" applyFont="1" applyFill="1" applyBorder="1" applyAlignment="1" applyProtection="1">
      <alignment horizontal="center"/>
      <protection hidden="1"/>
    </xf>
    <xf numFmtId="0" fontId="33" fillId="10" borderId="191" xfId="0" applyFont="1" applyFill="1" applyBorder="1" applyAlignment="1" applyProtection="1">
      <alignment horizontal="center"/>
      <protection hidden="1"/>
    </xf>
    <xf numFmtId="0" fontId="33" fillId="10" borderId="192" xfId="0" applyFont="1" applyFill="1" applyBorder="1" applyAlignment="1" applyProtection="1">
      <alignment horizontal="center"/>
      <protection hidden="1"/>
    </xf>
    <xf numFmtId="0" fontId="29" fillId="10" borderId="193" xfId="0" applyFont="1" applyFill="1" applyBorder="1" applyProtection="1">
      <protection hidden="1"/>
    </xf>
    <xf numFmtId="0" fontId="30" fillId="10" borderId="194" xfId="0" applyFont="1" applyFill="1" applyBorder="1" applyProtection="1">
      <protection hidden="1"/>
    </xf>
    <xf numFmtId="10" fontId="2" fillId="3" borderId="195" xfId="0" applyNumberFormat="1" applyFont="1" applyFill="1" applyBorder="1" applyAlignment="1" applyProtection="1">
      <alignment horizontal="center"/>
      <protection hidden="1"/>
    </xf>
    <xf numFmtId="173" fontId="2" fillId="3" borderId="196" xfId="0" applyNumberFormat="1" applyFont="1" applyFill="1" applyBorder="1" applyAlignment="1" applyProtection="1">
      <alignment horizontal="right"/>
      <protection hidden="1"/>
    </xf>
    <xf numFmtId="10" fontId="2" fillId="3" borderId="197" xfId="0" applyNumberFormat="1" applyFont="1" applyFill="1" applyBorder="1" applyAlignment="1" applyProtection="1">
      <alignment horizontal="center"/>
      <protection hidden="1"/>
    </xf>
    <xf numFmtId="173" fontId="2" fillId="3" borderId="198" xfId="0" applyNumberFormat="1" applyFont="1" applyFill="1" applyBorder="1" applyAlignment="1" applyProtection="1">
      <alignment horizontal="right"/>
      <protection hidden="1"/>
    </xf>
    <xf numFmtId="0" fontId="33" fillId="10" borderId="199" xfId="0" applyFont="1" applyFill="1" applyBorder="1" applyAlignment="1" applyProtection="1">
      <alignment horizontal="center"/>
      <protection hidden="1"/>
    </xf>
    <xf numFmtId="0" fontId="33" fillId="10" borderId="200" xfId="0" applyFont="1" applyFill="1" applyBorder="1" applyAlignment="1" applyProtection="1">
      <alignment horizontal="center"/>
      <protection hidden="1"/>
    </xf>
    <xf numFmtId="0" fontId="29" fillId="10" borderId="194" xfId="0" applyFont="1" applyFill="1" applyBorder="1" applyAlignment="1" applyProtection="1">
      <alignment horizontal="center"/>
      <protection hidden="1"/>
    </xf>
    <xf numFmtId="165" fontId="2" fillId="3" borderId="196" xfId="0" applyNumberFormat="1" applyFont="1" applyFill="1" applyBorder="1" applyAlignment="1" applyProtection="1">
      <alignment horizontal="right"/>
      <protection hidden="1"/>
    </xf>
    <xf numFmtId="10" fontId="2" fillId="3" borderId="52" xfId="0" applyNumberFormat="1" applyFont="1" applyFill="1" applyBorder="1" applyAlignment="1" applyProtection="1">
      <alignment horizontal="center"/>
      <protection hidden="1"/>
    </xf>
    <xf numFmtId="165" fontId="2" fillId="3" borderId="198" xfId="0" applyNumberFormat="1" applyFont="1" applyFill="1" applyBorder="1" applyAlignment="1" applyProtection="1">
      <alignment horizontal="right"/>
      <protection hidden="1"/>
    </xf>
    <xf numFmtId="172" fontId="2" fillId="3" borderId="196" xfId="0" applyNumberFormat="1" applyFont="1" applyFill="1" applyBorder="1" applyAlignment="1" applyProtection="1">
      <alignment horizontal="right"/>
      <protection hidden="1"/>
    </xf>
    <xf numFmtId="172" fontId="2" fillId="3" borderId="198" xfId="0" applyNumberFormat="1" applyFont="1" applyFill="1" applyBorder="1" applyAlignment="1" applyProtection="1">
      <alignment horizontal="right"/>
      <protection hidden="1"/>
    </xf>
    <xf numFmtId="0" fontId="33" fillId="10" borderId="201" xfId="0" applyFont="1" applyFill="1" applyBorder="1" applyAlignment="1" applyProtection="1">
      <alignment horizontal="center"/>
      <protection hidden="1"/>
    </xf>
    <xf numFmtId="0" fontId="33" fillId="10" borderId="140" xfId="0" applyFont="1" applyFill="1" applyBorder="1" applyAlignment="1" applyProtection="1">
      <alignment horizontal="center"/>
      <protection hidden="1"/>
    </xf>
    <xf numFmtId="0" fontId="33" fillId="10" borderId="202" xfId="0" applyFont="1" applyFill="1" applyBorder="1" applyAlignment="1" applyProtection="1">
      <alignment horizontal="center"/>
      <protection hidden="1"/>
    </xf>
    <xf numFmtId="0" fontId="33" fillId="10" borderId="4" xfId="0" applyFont="1" applyFill="1" applyBorder="1" applyAlignment="1" applyProtection="1">
      <alignment horizontal="center"/>
      <protection hidden="1"/>
    </xf>
    <xf numFmtId="0" fontId="29" fillId="10" borderId="193" xfId="0" applyFont="1" applyFill="1" applyBorder="1" applyAlignment="1" applyProtection="1">
      <alignment horizontal="center"/>
      <protection hidden="1"/>
    </xf>
    <xf numFmtId="0" fontId="29" fillId="10" borderId="203" xfId="0" applyFont="1" applyFill="1" applyBorder="1" applyAlignment="1" applyProtection="1">
      <alignment horizontal="center"/>
      <protection hidden="1"/>
    </xf>
    <xf numFmtId="172" fontId="2" fillId="3" borderId="195" xfId="0" applyNumberFormat="1" applyFont="1" applyFill="1" applyBorder="1" applyAlignment="1" applyProtection="1">
      <alignment horizontal="right"/>
      <protection hidden="1"/>
    </xf>
    <xf numFmtId="172" fontId="2" fillId="3" borderId="58" xfId="0" applyNumberFormat="1" applyFont="1" applyFill="1" applyBorder="1" applyAlignment="1" applyProtection="1">
      <alignment horizontal="right"/>
      <protection hidden="1"/>
    </xf>
    <xf numFmtId="172" fontId="2" fillId="3" borderId="197" xfId="0" applyNumberFormat="1" applyFont="1" applyFill="1" applyBorder="1" applyAlignment="1" applyProtection="1">
      <alignment horizontal="right"/>
      <protection hidden="1"/>
    </xf>
    <xf numFmtId="172" fontId="2" fillId="3" borderId="74" xfId="0" applyNumberFormat="1" applyFont="1" applyFill="1" applyBorder="1" applyAlignment="1" applyProtection="1">
      <alignment horizontal="right"/>
      <protection hidden="1"/>
    </xf>
    <xf numFmtId="0" fontId="33" fillId="7" borderId="0" xfId="0" applyFont="1" applyFill="1" applyAlignment="1" applyProtection="1">
      <alignment horizontal="center"/>
      <protection locked="0"/>
    </xf>
    <xf numFmtId="0" fontId="29" fillId="7" borderId="0" xfId="0" applyFont="1" applyFill="1" applyProtection="1">
      <protection locked="0"/>
    </xf>
    <xf numFmtId="172" fontId="2" fillId="11" borderId="0" xfId="0" applyNumberFormat="1" applyFont="1" applyFill="1" applyBorder="1" applyAlignment="1" applyProtection="1">
      <alignment horizontal="center"/>
      <protection hidden="1"/>
    </xf>
    <xf numFmtId="172" fontId="2" fillId="11" borderId="0" xfId="0" applyNumberFormat="1" applyFont="1" applyFill="1" applyBorder="1" applyProtection="1">
      <protection hidden="1"/>
    </xf>
    <xf numFmtId="172" fontId="2" fillId="11" borderId="0" xfId="0" applyNumberFormat="1" applyFont="1" applyFill="1" applyBorder="1" applyAlignment="1" applyProtection="1">
      <alignment horizontal="right"/>
      <protection hidden="1"/>
    </xf>
    <xf numFmtId="164" fontId="2" fillId="11" borderId="0" xfId="0" applyNumberFormat="1" applyFont="1" applyFill="1" applyBorder="1" applyProtection="1">
      <protection hidden="1"/>
    </xf>
    <xf numFmtId="1" fontId="2" fillId="9" borderId="115" xfId="0" applyNumberFormat="1" applyFont="1" applyFill="1" applyBorder="1" applyAlignment="1" applyProtection="1">
      <alignment horizontal="center"/>
      <protection hidden="1"/>
    </xf>
    <xf numFmtId="14" fontId="2" fillId="9" borderId="116" xfId="0" applyNumberFormat="1" applyFont="1" applyFill="1" applyBorder="1" applyAlignment="1" applyProtection="1">
      <alignment horizontal="center"/>
      <protection hidden="1"/>
    </xf>
    <xf numFmtId="170" fontId="2" fillId="3" borderId="114" xfId="0" applyNumberFormat="1" applyFont="1" applyFill="1" applyBorder="1" applyAlignment="1" applyProtection="1">
      <alignment horizontal="right"/>
      <protection hidden="1"/>
    </xf>
    <xf numFmtId="10" fontId="2" fillId="11" borderId="14" xfId="0" applyNumberFormat="1" applyFont="1" applyFill="1" applyBorder="1" applyAlignment="1" applyProtection="1">
      <alignment horizontal="center"/>
      <protection hidden="1"/>
    </xf>
    <xf numFmtId="10" fontId="2" fillId="3" borderId="59" xfId="0" applyNumberFormat="1" applyFont="1" applyFill="1" applyBorder="1" applyAlignment="1" applyProtection="1">
      <alignment horizontal="center"/>
      <protection hidden="1"/>
    </xf>
    <xf numFmtId="10" fontId="2" fillId="3" borderId="69" xfId="0" applyNumberFormat="1" applyFont="1" applyFill="1" applyBorder="1" applyAlignment="1" applyProtection="1">
      <alignment horizontal="center"/>
      <protection hidden="1"/>
    </xf>
    <xf numFmtId="10" fontId="2" fillId="3" borderId="135" xfId="0" applyNumberFormat="1" applyFont="1" applyFill="1" applyBorder="1" applyAlignment="1" applyProtection="1">
      <alignment horizontal="center"/>
      <protection hidden="1"/>
    </xf>
    <xf numFmtId="10" fontId="2" fillId="3" borderId="8" xfId="0" applyNumberFormat="1" applyFont="1" applyFill="1" applyBorder="1" applyAlignment="1" applyProtection="1">
      <alignment horizontal="center"/>
      <protection hidden="1"/>
    </xf>
    <xf numFmtId="0" fontId="2" fillId="7" borderId="86" xfId="0" applyFont="1" applyFill="1" applyBorder="1" applyProtection="1">
      <protection hidden="1"/>
    </xf>
    <xf numFmtId="10" fontId="70" fillId="11" borderId="8" xfId="0" applyNumberFormat="1" applyFont="1" applyFill="1" applyBorder="1" applyAlignment="1" applyProtection="1">
      <alignment horizontal="center"/>
      <protection hidden="1"/>
    </xf>
    <xf numFmtId="0" fontId="3" fillId="11" borderId="8" xfId="0" applyFont="1" applyFill="1" applyBorder="1" applyAlignment="1" applyProtection="1">
      <alignment horizontal="center"/>
      <protection hidden="1"/>
    </xf>
    <xf numFmtId="10" fontId="33" fillId="11" borderId="8" xfId="0" applyNumberFormat="1" applyFont="1" applyFill="1" applyBorder="1" applyAlignment="1" applyProtection="1">
      <alignment horizontal="center"/>
      <protection hidden="1"/>
    </xf>
    <xf numFmtId="1" fontId="74" fillId="20" borderId="76" xfId="0" applyNumberFormat="1" applyFont="1" applyFill="1" applyBorder="1" applyAlignment="1" applyProtection="1">
      <alignment horizontal="center"/>
      <protection hidden="1"/>
    </xf>
    <xf numFmtId="14" fontId="78" fillId="25" borderId="88" xfId="0" applyNumberFormat="1" applyFont="1" applyFill="1" applyBorder="1" applyAlignment="1" applyProtection="1">
      <alignment horizontal="center"/>
      <protection hidden="1"/>
    </xf>
    <xf numFmtId="10" fontId="78" fillId="25" borderId="66" xfId="0" applyNumberFormat="1" applyFont="1" applyFill="1" applyBorder="1" applyAlignment="1" applyProtection="1">
      <alignment horizontal="center"/>
      <protection hidden="1"/>
    </xf>
    <xf numFmtId="172" fontId="78" fillId="25" borderId="196" xfId="0" applyNumberFormat="1" applyFont="1" applyFill="1" applyBorder="1" applyAlignment="1" applyProtection="1">
      <alignment horizontal="right"/>
      <protection hidden="1"/>
    </xf>
    <xf numFmtId="0" fontId="78" fillId="25" borderId="205" xfId="0" applyFont="1" applyFill="1" applyBorder="1" applyAlignment="1" applyProtection="1">
      <alignment horizontal="center"/>
      <protection hidden="1"/>
    </xf>
    <xf numFmtId="172" fontId="78" fillId="25" borderId="204" xfId="0" applyNumberFormat="1" applyFont="1" applyFill="1" applyBorder="1" applyAlignment="1" applyProtection="1">
      <alignment horizontal="right"/>
      <protection hidden="1"/>
    </xf>
    <xf numFmtId="0" fontId="78" fillId="25" borderId="66" xfId="0" applyFont="1" applyFill="1" applyBorder="1" applyProtection="1">
      <protection hidden="1"/>
    </xf>
    <xf numFmtId="172" fontId="78" fillId="25" borderId="206" xfId="0" applyNumberFormat="1" applyFont="1" applyFill="1" applyBorder="1" applyAlignment="1" applyProtection="1">
      <alignment horizontal="right"/>
      <protection hidden="1"/>
    </xf>
    <xf numFmtId="172" fontId="78" fillId="25" borderId="72" xfId="0" applyNumberFormat="1" applyFont="1" applyFill="1" applyBorder="1" applyAlignment="1" applyProtection="1">
      <alignment horizontal="right"/>
      <protection hidden="1"/>
    </xf>
    <xf numFmtId="0" fontId="78" fillId="25" borderId="206" xfId="0" applyFont="1" applyFill="1" applyBorder="1" applyAlignment="1" applyProtection="1">
      <alignment horizontal="center"/>
      <protection hidden="1"/>
    </xf>
    <xf numFmtId="1" fontId="79" fillId="20" borderId="88" xfId="0" applyNumberFormat="1" applyFont="1" applyFill="1" applyBorder="1" applyProtection="1">
      <protection hidden="1"/>
    </xf>
    <xf numFmtId="0" fontId="80" fillId="25" borderId="71" xfId="0" applyFont="1" applyFill="1" applyBorder="1" applyAlignment="1" applyProtection="1">
      <alignment horizontal="center"/>
      <protection hidden="1"/>
    </xf>
    <xf numFmtId="0" fontId="80" fillId="25" borderId="68" xfId="0" applyFont="1" applyFill="1" applyBorder="1" applyAlignment="1" applyProtection="1">
      <alignment horizontal="center"/>
      <protection hidden="1"/>
    </xf>
    <xf numFmtId="0" fontId="77" fillId="25" borderId="88" xfId="0" applyFont="1" applyFill="1" applyBorder="1" applyProtection="1">
      <protection hidden="1"/>
    </xf>
    <xf numFmtId="0" fontId="77" fillId="25" borderId="71" xfId="0" applyFont="1" applyFill="1" applyBorder="1" applyProtection="1">
      <protection hidden="1"/>
    </xf>
    <xf numFmtId="0" fontId="77" fillId="25" borderId="68" xfId="0" applyFont="1" applyFill="1" applyBorder="1" applyProtection="1">
      <protection hidden="1"/>
    </xf>
    <xf numFmtId="0" fontId="29" fillId="11" borderId="0" xfId="0" applyFont="1" applyFill="1" applyBorder="1" applyProtection="1"/>
    <xf numFmtId="0" fontId="30" fillId="11" borderId="0" xfId="0" applyFont="1" applyFill="1" applyBorder="1" applyProtection="1"/>
    <xf numFmtId="0" fontId="29" fillId="11" borderId="0" xfId="0" applyFont="1" applyFill="1" applyBorder="1" applyAlignment="1" applyProtection="1">
      <alignment horizontal="center"/>
    </xf>
    <xf numFmtId="1" fontId="29" fillId="11" borderId="0" xfId="0" applyNumberFormat="1" applyFont="1" applyFill="1" applyBorder="1" applyProtection="1"/>
    <xf numFmtId="10" fontId="2" fillId="3" borderId="188" xfId="0" applyNumberFormat="1" applyFont="1" applyFill="1" applyBorder="1" applyAlignment="1" applyProtection="1">
      <alignment horizontal="center"/>
      <protection hidden="1"/>
    </xf>
    <xf numFmtId="0" fontId="33" fillId="0" borderId="0" xfId="0" applyFont="1" applyFill="1" applyBorder="1" applyAlignment="1" applyProtection="1">
      <alignment horizontal="center"/>
      <protection hidden="1"/>
    </xf>
    <xf numFmtId="0" fontId="30" fillId="0" borderId="0" xfId="0" applyFont="1" applyFill="1" applyBorder="1" applyProtection="1">
      <protection hidden="1"/>
    </xf>
    <xf numFmtId="0" fontId="29" fillId="0" borderId="0" xfId="0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167" fontId="2" fillId="0" borderId="0" xfId="0" applyNumberFormat="1" applyFont="1" applyFill="1" applyBorder="1" applyAlignment="1" applyProtection="1">
      <alignment horizontal="center"/>
      <protection hidden="1"/>
    </xf>
    <xf numFmtId="167" fontId="2" fillId="0" borderId="0" xfId="0" applyNumberFormat="1" applyFont="1" applyFill="1" applyBorder="1" applyProtection="1">
      <protection hidden="1"/>
    </xf>
    <xf numFmtId="164" fontId="2" fillId="0" borderId="0" xfId="0" applyNumberFormat="1" applyFont="1" applyFill="1" applyBorder="1" applyAlignment="1" applyProtection="1">
      <alignment horizontal="right"/>
      <protection hidden="1"/>
    </xf>
    <xf numFmtId="172" fontId="2" fillId="0" borderId="0" xfId="0" applyNumberFormat="1" applyFont="1" applyFill="1" applyBorder="1" applyAlignment="1" applyProtection="1">
      <alignment horizontal="right"/>
      <protection hidden="1"/>
    </xf>
    <xf numFmtId="172" fontId="2" fillId="0" borderId="0" xfId="0" applyNumberFormat="1" applyFont="1" applyFill="1" applyBorder="1" applyProtection="1">
      <protection hidden="1"/>
    </xf>
    <xf numFmtId="172" fontId="2" fillId="0" borderId="0" xfId="0" applyNumberFormat="1" applyFont="1" applyFill="1" applyBorder="1" applyAlignment="1" applyProtection="1">
      <alignment horizontal="center"/>
      <protection hidden="1"/>
    </xf>
    <xf numFmtId="0" fontId="29" fillId="11" borderId="77" xfId="0" applyFont="1" applyFill="1" applyBorder="1" applyProtection="1"/>
    <xf numFmtId="0" fontId="56" fillId="0" borderId="0" xfId="0" applyFont="1"/>
    <xf numFmtId="0" fontId="56" fillId="0" borderId="0" xfId="0" applyFont="1" applyAlignment="1">
      <alignment horizontal="right"/>
    </xf>
    <xf numFmtId="10" fontId="46" fillId="7" borderId="63" xfId="1" applyNumberFormat="1" applyFont="1" applyFill="1" applyBorder="1" applyAlignment="1" applyProtection="1">
      <alignment horizontal="center"/>
      <protection hidden="1"/>
    </xf>
    <xf numFmtId="1" fontId="16" fillId="18" borderId="134" xfId="0" applyNumberFormat="1" applyFont="1" applyFill="1" applyBorder="1" applyAlignment="1">
      <alignment horizontal="center"/>
    </xf>
    <xf numFmtId="1" fontId="16" fillId="26" borderId="37" xfId="0" applyNumberFormat="1" applyFont="1" applyFill="1" applyBorder="1" applyAlignment="1">
      <alignment horizontal="left" indent="2"/>
    </xf>
    <xf numFmtId="1" fontId="16" fillId="26" borderId="37" xfId="0" applyNumberFormat="1" applyFont="1" applyFill="1" applyBorder="1" applyAlignment="1">
      <alignment horizontal="center"/>
    </xf>
    <xf numFmtId="14" fontId="43" fillId="7" borderId="71" xfId="1" applyNumberFormat="1" applyFont="1" applyFill="1" applyBorder="1" applyAlignment="1" applyProtection="1">
      <alignment horizontal="center"/>
      <protection hidden="1"/>
    </xf>
    <xf numFmtId="14" fontId="43" fillId="7" borderId="50" xfId="1" applyNumberFormat="1" applyFont="1" applyFill="1" applyBorder="1" applyAlignment="1" applyProtection="1">
      <alignment horizontal="center"/>
      <protection hidden="1"/>
    </xf>
    <xf numFmtId="14" fontId="43" fillId="7" borderId="151" xfId="1" applyNumberFormat="1" applyFont="1" applyFill="1" applyBorder="1" applyAlignment="1" applyProtection="1">
      <alignment horizontal="center"/>
      <protection hidden="1"/>
    </xf>
    <xf numFmtId="0" fontId="55" fillId="27" borderId="0" xfId="0" applyFont="1" applyFill="1" applyBorder="1" applyProtection="1">
      <protection hidden="1"/>
    </xf>
    <xf numFmtId="1" fontId="55" fillId="27" borderId="0" xfId="0" applyNumberFormat="1" applyFont="1" applyFill="1" applyBorder="1" applyAlignment="1" applyProtection="1">
      <alignment horizontal="right"/>
      <protection hidden="1"/>
    </xf>
    <xf numFmtId="0" fontId="55" fillId="27" borderId="0" xfId="0" applyFont="1" applyFill="1" applyProtection="1">
      <protection hidden="1"/>
    </xf>
    <xf numFmtId="1" fontId="55" fillId="27" borderId="0" xfId="0" applyNumberFormat="1" applyFont="1" applyFill="1" applyAlignment="1" applyProtection="1">
      <alignment horizontal="center"/>
      <protection hidden="1"/>
    </xf>
    <xf numFmtId="14" fontId="55" fillId="27" borderId="0" xfId="0" applyNumberFormat="1" applyFont="1" applyFill="1" applyAlignment="1" applyProtection="1">
      <alignment horizontal="center"/>
      <protection hidden="1"/>
    </xf>
    <xf numFmtId="10" fontId="55" fillId="27" borderId="0" xfId="0" applyNumberFormat="1" applyFont="1" applyFill="1" applyAlignment="1" applyProtection="1">
      <alignment horizontal="center"/>
      <protection hidden="1"/>
    </xf>
    <xf numFmtId="0" fontId="55" fillId="27" borderId="0" xfId="0" applyNumberFormat="1" applyFont="1" applyFill="1" applyAlignment="1" applyProtection="1">
      <alignment horizontal="center"/>
      <protection hidden="1"/>
    </xf>
    <xf numFmtId="0" fontId="81" fillId="27" borderId="0" xfId="0" applyFont="1" applyFill="1" applyProtection="1">
      <protection hidden="1"/>
    </xf>
    <xf numFmtId="9" fontId="46" fillId="7" borderId="80" xfId="0" applyNumberFormat="1" applyFont="1" applyFill="1" applyBorder="1" applyAlignment="1" applyProtection="1">
      <alignment horizontal="center"/>
      <protection hidden="1"/>
    </xf>
    <xf numFmtId="9" fontId="46" fillId="7" borderId="58" xfId="0" applyNumberFormat="1" applyFont="1" applyFill="1" applyBorder="1" applyAlignment="1" applyProtection="1">
      <alignment horizontal="center"/>
      <protection hidden="1"/>
    </xf>
    <xf numFmtId="9" fontId="46" fillId="7" borderId="63" xfId="0" applyNumberFormat="1" applyFont="1" applyFill="1" applyBorder="1" applyAlignment="1" applyProtection="1">
      <alignment horizontal="center"/>
      <protection hidden="1"/>
    </xf>
    <xf numFmtId="9" fontId="46" fillId="7" borderId="153" xfId="0" applyNumberFormat="1" applyFont="1" applyFill="1" applyBorder="1" applyAlignment="1" applyProtection="1">
      <alignment horizontal="center"/>
      <protection hidden="1"/>
    </xf>
    <xf numFmtId="172" fontId="2" fillId="3" borderId="49" xfId="0" applyNumberFormat="1" applyFont="1" applyFill="1" applyBorder="1" applyAlignment="1" applyProtection="1">
      <alignment horizontal="right"/>
      <protection hidden="1"/>
    </xf>
    <xf numFmtId="172" fontId="2" fillId="3" borderId="70" xfId="0" applyNumberFormat="1" applyFont="1" applyFill="1" applyBorder="1" applyAlignment="1" applyProtection="1">
      <alignment horizontal="right"/>
      <protection hidden="1"/>
    </xf>
    <xf numFmtId="1" fontId="76" fillId="28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left"/>
    </xf>
    <xf numFmtId="1" fontId="40" fillId="0" borderId="0" xfId="0" applyNumberFormat="1" applyFont="1" applyFill="1" applyBorder="1" applyAlignment="1">
      <alignment horizontal="center"/>
    </xf>
    <xf numFmtId="0" fontId="56" fillId="0" borderId="0" xfId="0" applyFont="1" applyFill="1" applyAlignment="1">
      <alignment horizontal="left"/>
    </xf>
    <xf numFmtId="0" fontId="40" fillId="18" borderId="6" xfId="0" applyFont="1" applyFill="1" applyBorder="1" applyAlignment="1">
      <alignment horizontal="center"/>
    </xf>
    <xf numFmtId="0" fontId="40" fillId="18" borderId="4" xfId="0" applyFont="1" applyFill="1" applyBorder="1" applyAlignment="1">
      <alignment horizontal="center"/>
    </xf>
    <xf numFmtId="1" fontId="56" fillId="18" borderId="4" xfId="0" applyNumberFormat="1" applyFont="1" applyFill="1" applyBorder="1" applyAlignment="1">
      <alignment horizontal="center"/>
    </xf>
    <xf numFmtId="1" fontId="40" fillId="18" borderId="4" xfId="0" applyNumberFormat="1" applyFont="1" applyFill="1" applyBorder="1" applyAlignment="1">
      <alignment horizontal="center"/>
    </xf>
    <xf numFmtId="1" fontId="40" fillId="18" borderId="5" xfId="0" applyNumberFormat="1" applyFont="1" applyFill="1" applyBorder="1" applyAlignment="1">
      <alignment horizontal="center"/>
    </xf>
    <xf numFmtId="14" fontId="40" fillId="0" borderId="0" xfId="0" applyNumberFormat="1" applyFont="1" applyFill="1" applyBorder="1" applyAlignment="1">
      <alignment horizontal="center"/>
    </xf>
    <xf numFmtId="2" fontId="40" fillId="10" borderId="174" xfId="0" applyNumberFormat="1" applyFont="1" applyFill="1" applyBorder="1" applyAlignment="1">
      <alignment horizontal="center"/>
    </xf>
    <xf numFmtId="2" fontId="40" fillId="0" borderId="0" xfId="0" applyNumberFormat="1" applyFont="1" applyFill="1" applyBorder="1" applyAlignment="1">
      <alignment horizontal="center"/>
    </xf>
    <xf numFmtId="0" fontId="40" fillId="13" borderId="179" xfId="0" applyFont="1" applyFill="1" applyBorder="1" applyAlignment="1">
      <alignment horizontal="left"/>
    </xf>
    <xf numFmtId="0" fontId="40" fillId="10" borderId="89" xfId="0" applyFont="1" applyFill="1" applyBorder="1" applyAlignment="1">
      <alignment horizontal="left"/>
    </xf>
    <xf numFmtId="0" fontId="40" fillId="18" borderId="55" xfId="0" applyFont="1" applyFill="1" applyBorder="1" applyAlignment="1">
      <alignment horizontal="center"/>
    </xf>
    <xf numFmtId="0" fontId="40" fillId="18" borderId="203" xfId="0" applyFont="1" applyFill="1" applyBorder="1" applyAlignment="1">
      <alignment horizontal="center"/>
    </xf>
    <xf numFmtId="1" fontId="56" fillId="18" borderId="203" xfId="0" applyNumberFormat="1" applyFont="1" applyFill="1" applyBorder="1" applyAlignment="1">
      <alignment horizontal="center"/>
    </xf>
    <xf numFmtId="1" fontId="40" fillId="18" borderId="203" xfId="0" applyNumberFormat="1" applyFont="1" applyFill="1" applyBorder="1" applyAlignment="1">
      <alignment horizontal="center"/>
    </xf>
    <xf numFmtId="1" fontId="40" fillId="18" borderId="56" xfId="0" applyNumberFormat="1" applyFont="1" applyFill="1" applyBorder="1" applyAlignment="1">
      <alignment horizontal="center"/>
    </xf>
    <xf numFmtId="0" fontId="2" fillId="0" borderId="0" xfId="0" applyNumberFormat="1" applyFont="1" applyProtection="1">
      <protection locked="0"/>
    </xf>
    <xf numFmtId="0" fontId="2" fillId="0" borderId="0" xfId="0" applyNumberFormat="1" applyFont="1" applyFill="1" applyProtection="1">
      <protection locked="0"/>
    </xf>
    <xf numFmtId="0" fontId="15" fillId="0" borderId="0" xfId="0" applyNumberFormat="1" applyFont="1" applyProtection="1"/>
    <xf numFmtId="0" fontId="15" fillId="0" borderId="0" xfId="0" applyNumberFormat="1" applyFont="1" applyProtection="1">
      <protection locked="0"/>
    </xf>
    <xf numFmtId="1" fontId="40" fillId="30" borderId="8" xfId="0" applyNumberFormat="1" applyFont="1" applyFill="1" applyBorder="1" applyAlignment="1">
      <alignment horizontal="center"/>
    </xf>
    <xf numFmtId="0" fontId="40" fillId="10" borderId="7" xfId="0" applyFont="1" applyFill="1" applyBorder="1" applyAlignment="1">
      <alignment horizontal="left"/>
    </xf>
    <xf numFmtId="1" fontId="40" fillId="30" borderId="2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71" fillId="0" borderId="0" xfId="0" applyNumberFormat="1" applyFont="1"/>
    <xf numFmtId="0" fontId="2" fillId="0" borderId="0" xfId="0" applyFont="1" applyProtection="1"/>
    <xf numFmtId="0" fontId="25" fillId="11" borderId="0" xfId="0" applyFont="1" applyFill="1" applyBorder="1" applyAlignment="1">
      <alignment horizontal="left" vertical="center" indent="1"/>
    </xf>
    <xf numFmtId="14" fontId="36" fillId="16" borderId="18" xfId="0" applyNumberFormat="1" applyFont="1" applyFill="1" applyBorder="1" applyAlignment="1" applyProtection="1">
      <alignment horizontal="center" vertical="center"/>
      <protection hidden="1"/>
    </xf>
    <xf numFmtId="0" fontId="35" fillId="11" borderId="0" xfId="0" applyFont="1" applyFill="1" applyBorder="1" applyAlignment="1">
      <alignment vertical="center"/>
    </xf>
    <xf numFmtId="2" fontId="36" fillId="21" borderId="18" xfId="0" applyNumberFormat="1" applyFont="1" applyFill="1" applyBorder="1" applyAlignment="1" applyProtection="1">
      <alignment horizontal="center" vertical="center"/>
      <protection hidden="1"/>
    </xf>
    <xf numFmtId="2" fontId="24" fillId="11" borderId="0" xfId="0" applyNumberFormat="1" applyFont="1" applyFill="1" applyBorder="1" applyAlignment="1" applyProtection="1">
      <alignment horizontal="center" vertical="center"/>
      <protection locked="0"/>
    </xf>
    <xf numFmtId="2" fontId="24" fillId="20" borderId="0" xfId="0" applyNumberFormat="1" applyFont="1" applyFill="1" applyBorder="1" applyAlignment="1" applyProtection="1">
      <alignment horizontal="center" vertical="center"/>
      <protection locked="0"/>
    </xf>
    <xf numFmtId="0" fontId="25" fillId="11" borderId="0" xfId="0" applyFont="1" applyFill="1" applyBorder="1" applyAlignment="1" applyProtection="1">
      <alignment horizontal="left" vertical="center" indent="1"/>
    </xf>
    <xf numFmtId="2" fontId="36" fillId="11" borderId="0" xfId="0" applyNumberFormat="1" applyFont="1" applyFill="1" applyBorder="1" applyAlignment="1" applyProtection="1">
      <alignment horizontal="center" vertical="center"/>
      <protection hidden="1"/>
    </xf>
    <xf numFmtId="0" fontId="25" fillId="11" borderId="0" xfId="0" applyFont="1" applyFill="1" applyBorder="1" applyAlignment="1" applyProtection="1">
      <alignment horizontal="left" indent="1"/>
    </xf>
    <xf numFmtId="9" fontId="36" fillId="11" borderId="0" xfId="0" applyNumberFormat="1" applyFont="1" applyFill="1" applyBorder="1" applyAlignment="1" applyProtection="1">
      <alignment horizontal="center"/>
      <protection hidden="1"/>
    </xf>
    <xf numFmtId="0" fontId="25" fillId="7" borderId="8" xfId="0" applyFont="1" applyFill="1" applyBorder="1"/>
    <xf numFmtId="0" fontId="25" fillId="7" borderId="0" xfId="0" applyFont="1" applyFill="1" applyBorder="1"/>
    <xf numFmtId="0" fontId="25" fillId="7" borderId="0" xfId="0" applyFont="1" applyFill="1" applyBorder="1" applyAlignment="1" applyProtection="1">
      <alignment horizontal="left" vertical="center" indent="1"/>
    </xf>
    <xf numFmtId="2" fontId="36" fillId="7" borderId="0" xfId="0" applyNumberFormat="1" applyFont="1" applyFill="1" applyBorder="1" applyAlignment="1" applyProtection="1">
      <alignment horizontal="center" vertical="center"/>
      <protection hidden="1"/>
    </xf>
    <xf numFmtId="0" fontId="25" fillId="7" borderId="0" xfId="0" applyFont="1" applyFill="1" applyBorder="1" applyAlignment="1" applyProtection="1">
      <alignment horizontal="left" indent="1"/>
    </xf>
    <xf numFmtId="9" fontId="36" fillId="7" borderId="0" xfId="0" applyNumberFormat="1" applyFont="1" applyFill="1" applyBorder="1" applyAlignment="1" applyProtection="1">
      <alignment horizontal="center"/>
      <protection hidden="1"/>
    </xf>
    <xf numFmtId="0" fontId="25" fillId="7" borderId="77" xfId="0" applyFont="1" applyFill="1" applyBorder="1"/>
    <xf numFmtId="1" fontId="36" fillId="16" borderId="18" xfId="0" applyNumberFormat="1" applyFont="1" applyFill="1" applyBorder="1" applyAlignment="1" applyProtection="1">
      <alignment horizontal="center" vertical="center"/>
      <protection hidden="1"/>
    </xf>
    <xf numFmtId="1" fontId="36" fillId="21" borderId="18" xfId="0" applyNumberFormat="1" applyFont="1" applyFill="1" applyBorder="1" applyAlignment="1" applyProtection="1">
      <alignment horizontal="center"/>
      <protection hidden="1"/>
    </xf>
    <xf numFmtId="0" fontId="13" fillId="11" borderId="48" xfId="0" applyFont="1" applyFill="1" applyBorder="1" applyProtection="1"/>
    <xf numFmtId="0" fontId="13" fillId="11" borderId="54" xfId="0" applyFont="1" applyFill="1" applyBorder="1" applyProtection="1"/>
    <xf numFmtId="0" fontId="59" fillId="7" borderId="0" xfId="0" applyFont="1" applyFill="1" applyBorder="1" applyProtection="1">
      <protection hidden="1"/>
    </xf>
    <xf numFmtId="0" fontId="59" fillId="7" borderId="0" xfId="0" applyFont="1" applyFill="1" applyProtection="1">
      <protection locked="0"/>
    </xf>
    <xf numFmtId="0" fontId="82" fillId="7" borderId="0" xfId="0" applyFont="1" applyFill="1" applyBorder="1" applyProtection="1">
      <protection locked="0"/>
    </xf>
    <xf numFmtId="0" fontId="59" fillId="7" borderId="0" xfId="0" applyFont="1" applyFill="1" applyBorder="1" applyAlignment="1" applyProtection="1">
      <alignment horizontal="center"/>
      <protection locked="0"/>
    </xf>
    <xf numFmtId="0" fontId="38" fillId="11" borderId="0" xfId="0" applyFont="1" applyFill="1" applyBorder="1" applyAlignment="1" applyProtection="1">
      <alignment horizontal="left" indent="1"/>
      <protection hidden="1"/>
    </xf>
    <xf numFmtId="172" fontId="38" fillId="11" borderId="0" xfId="0" applyNumberFormat="1" applyFont="1" applyFill="1" applyBorder="1" applyAlignment="1" applyProtection="1">
      <alignment horizontal="right"/>
      <protection hidden="1"/>
    </xf>
    <xf numFmtId="0" fontId="59" fillId="11" borderId="0" xfId="0" applyFont="1" applyFill="1" applyBorder="1" applyAlignment="1" applyProtection="1">
      <alignment horizontal="left" indent="1"/>
      <protection hidden="1"/>
    </xf>
    <xf numFmtId="9" fontId="59" fillId="11" borderId="0" xfId="0" applyNumberFormat="1" applyFont="1" applyFill="1" applyBorder="1" applyAlignment="1" applyProtection="1">
      <alignment horizontal="center"/>
      <protection hidden="1"/>
    </xf>
    <xf numFmtId="0" fontId="59" fillId="11" borderId="0" xfId="0" applyFont="1" applyFill="1" applyBorder="1" applyProtection="1">
      <protection locked="0"/>
    </xf>
    <xf numFmtId="0" fontId="59" fillId="11" borderId="0" xfId="0" applyFont="1" applyFill="1" applyBorder="1" applyAlignment="1" applyProtection="1">
      <alignment horizontal="right"/>
      <protection locked="0"/>
    </xf>
    <xf numFmtId="0" fontId="59" fillId="11" borderId="0" xfId="0" applyFont="1" applyFill="1" applyBorder="1" applyAlignment="1" applyProtection="1">
      <alignment horizontal="center"/>
      <protection locked="0"/>
    </xf>
    <xf numFmtId="10" fontId="59" fillId="11" borderId="0" xfId="0" applyNumberFormat="1" applyFont="1" applyFill="1" applyBorder="1" applyAlignment="1" applyProtection="1">
      <alignment horizontal="center"/>
      <protection hidden="1"/>
    </xf>
    <xf numFmtId="167" fontId="38" fillId="11" borderId="0" xfId="0" applyNumberFormat="1" applyFont="1" applyFill="1" applyBorder="1" applyAlignment="1" applyProtection="1">
      <alignment horizontal="right"/>
      <protection hidden="1"/>
    </xf>
    <xf numFmtId="10" fontId="38" fillId="11" borderId="0" xfId="0" applyNumberFormat="1" applyFont="1" applyFill="1" applyBorder="1" applyAlignment="1" applyProtection="1">
      <alignment horizontal="center"/>
      <protection hidden="1"/>
    </xf>
    <xf numFmtId="0" fontId="59" fillId="11" borderId="0" xfId="0" applyFont="1" applyFill="1" applyBorder="1" applyProtection="1">
      <protection hidden="1"/>
    </xf>
    <xf numFmtId="0" fontId="59" fillId="11" borderId="0" xfId="0" applyFont="1" applyFill="1" applyBorder="1" applyAlignment="1" applyProtection="1">
      <alignment horizontal="right"/>
      <protection hidden="1"/>
    </xf>
    <xf numFmtId="0" fontId="59" fillId="7" borderId="0" xfId="0" applyFont="1" applyFill="1" applyBorder="1" applyAlignment="1" applyProtection="1">
      <alignment horizontal="right"/>
      <protection locked="0"/>
    </xf>
    <xf numFmtId="0" fontId="59" fillId="7" borderId="0" xfId="0" applyFont="1" applyFill="1" applyBorder="1" applyAlignment="1" applyProtection="1">
      <alignment horizontal="center"/>
      <protection hidden="1"/>
    </xf>
    <xf numFmtId="10" fontId="38" fillId="11" borderId="0" xfId="0" applyNumberFormat="1" applyFont="1" applyFill="1" applyBorder="1" applyAlignment="1" applyProtection="1">
      <alignment horizontal="left" indent="1"/>
      <protection hidden="1"/>
    </xf>
    <xf numFmtId="0" fontId="59" fillId="9" borderId="214" xfId="0" applyFont="1" applyFill="1" applyBorder="1" applyAlignment="1" applyProtection="1">
      <alignment horizontal="left" indent="1"/>
      <protection hidden="1"/>
    </xf>
    <xf numFmtId="14" fontId="38" fillId="11" borderId="0" xfId="0" applyNumberFormat="1" applyFont="1" applyFill="1" applyBorder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locked="0"/>
    </xf>
    <xf numFmtId="10" fontId="38" fillId="9" borderId="214" xfId="0" applyNumberFormat="1" applyFont="1" applyFill="1" applyBorder="1" applyAlignment="1" applyProtection="1">
      <alignment horizontal="left" indent="1"/>
      <protection hidden="1"/>
    </xf>
    <xf numFmtId="172" fontId="39" fillId="3" borderId="178" xfId="0" applyNumberFormat="1" applyFont="1" applyFill="1" applyBorder="1" applyAlignment="1" applyProtection="1">
      <alignment horizontal="right"/>
      <protection hidden="1"/>
    </xf>
    <xf numFmtId="10" fontId="39" fillId="3" borderId="178" xfId="0" applyNumberFormat="1" applyFont="1" applyFill="1" applyBorder="1" applyAlignment="1" applyProtection="1">
      <alignment horizontal="center"/>
      <protection hidden="1"/>
    </xf>
    <xf numFmtId="0" fontId="38" fillId="11" borderId="0" xfId="0" applyFont="1" applyFill="1" applyBorder="1" applyAlignment="1" applyProtection="1">
      <alignment horizontal="left" indent="1"/>
      <protection hidden="1"/>
    </xf>
    <xf numFmtId="1" fontId="59" fillId="11" borderId="0" xfId="0" applyNumberFormat="1" applyFont="1" applyFill="1" applyBorder="1" applyProtection="1">
      <protection hidden="1"/>
    </xf>
    <xf numFmtId="0" fontId="86" fillId="7" borderId="0" xfId="0" applyFont="1" applyFill="1" applyBorder="1" applyProtection="1">
      <protection locked="0"/>
    </xf>
    <xf numFmtId="0" fontId="86" fillId="7" borderId="0" xfId="0" applyFont="1" applyFill="1" applyBorder="1" applyAlignment="1" applyProtection="1">
      <alignment horizontal="center"/>
      <protection locked="0"/>
    </xf>
    <xf numFmtId="10" fontId="38" fillId="9" borderId="214" xfId="0" applyNumberFormat="1" applyFont="1" applyFill="1" applyBorder="1" applyAlignment="1" applyProtection="1">
      <alignment horizontal="center"/>
      <protection hidden="1"/>
    </xf>
    <xf numFmtId="0" fontId="38" fillId="11" borderId="0" xfId="0" applyFont="1" applyFill="1" applyBorder="1" applyAlignment="1" applyProtection="1">
      <alignment horizontal="left" indent="1"/>
      <protection hidden="1"/>
    </xf>
    <xf numFmtId="14" fontId="29" fillId="11" borderId="0" xfId="0" applyNumberFormat="1" applyFont="1" applyFill="1" applyBorder="1" applyAlignment="1" applyProtection="1">
      <alignment horizontal="center"/>
      <protection hidden="1"/>
    </xf>
    <xf numFmtId="0" fontId="90" fillId="9" borderId="16" xfId="0" applyFont="1" applyFill="1" applyBorder="1" applyAlignment="1" applyProtection="1">
      <protection hidden="1"/>
    </xf>
    <xf numFmtId="14" fontId="90" fillId="9" borderId="87" xfId="0" applyNumberFormat="1" applyFont="1" applyFill="1" applyBorder="1" applyAlignment="1" applyProtection="1">
      <protection hidden="1"/>
    </xf>
    <xf numFmtId="0" fontId="90" fillId="9" borderId="104" xfId="0" applyFont="1" applyFill="1" applyBorder="1" applyAlignment="1" applyProtection="1">
      <protection hidden="1"/>
    </xf>
    <xf numFmtId="165" fontId="71" fillId="3" borderId="89" xfId="0" applyNumberFormat="1" applyFont="1" applyFill="1" applyBorder="1" applyAlignment="1" applyProtection="1">
      <alignment horizontal="right"/>
      <protection hidden="1"/>
    </xf>
    <xf numFmtId="10" fontId="71" fillId="3" borderId="133" xfId="0" applyNumberFormat="1" applyFont="1" applyFill="1" applyBorder="1" applyAlignment="1" applyProtection="1">
      <alignment horizontal="center"/>
      <protection hidden="1"/>
    </xf>
    <xf numFmtId="10" fontId="71" fillId="3" borderId="132" xfId="0" applyNumberFormat="1" applyFont="1" applyFill="1" applyBorder="1" applyAlignment="1" applyProtection="1">
      <alignment horizontal="center"/>
      <protection hidden="1"/>
    </xf>
    <xf numFmtId="0" fontId="59" fillId="9" borderId="210" xfId="0" applyFont="1" applyFill="1" applyBorder="1" applyAlignment="1" applyProtection="1">
      <alignment horizontal="left" indent="1"/>
      <protection hidden="1"/>
    </xf>
    <xf numFmtId="0" fontId="59" fillId="9" borderId="218" xfId="0" applyFont="1" applyFill="1" applyBorder="1" applyAlignment="1" applyProtection="1">
      <alignment horizontal="left" indent="1"/>
      <protection hidden="1"/>
    </xf>
    <xf numFmtId="1" fontId="82" fillId="3" borderId="178" xfId="0" applyNumberFormat="1" applyFont="1" applyFill="1" applyBorder="1" applyAlignment="1" applyProtection="1">
      <alignment horizontal="center"/>
      <protection hidden="1"/>
    </xf>
    <xf numFmtId="2" fontId="82" fillId="3" borderId="178" xfId="0" applyNumberFormat="1" applyFont="1" applyFill="1" applyBorder="1" applyAlignment="1" applyProtection="1">
      <alignment horizontal="center"/>
      <protection hidden="1"/>
    </xf>
    <xf numFmtId="9" fontId="82" fillId="3" borderId="178" xfId="0" applyNumberFormat="1" applyFont="1" applyFill="1" applyBorder="1" applyAlignment="1" applyProtection="1">
      <alignment horizontal="center"/>
      <protection hidden="1"/>
    </xf>
    <xf numFmtId="172" fontId="75" fillId="11" borderId="0" xfId="0" applyNumberFormat="1" applyFont="1" applyFill="1" applyBorder="1" applyAlignment="1" applyProtection="1">
      <alignment horizontal="right"/>
      <protection hidden="1"/>
    </xf>
    <xf numFmtId="10" fontId="0" fillId="11" borderId="0" xfId="0" applyNumberFormat="1" applyFont="1" applyFill="1" applyBorder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0" fillId="11" borderId="0" xfId="0" applyFont="1" applyFill="1" applyBorder="1" applyProtection="1">
      <protection hidden="1"/>
    </xf>
    <xf numFmtId="10" fontId="2" fillId="11" borderId="0" xfId="0" applyNumberFormat="1" applyFont="1" applyFill="1" applyBorder="1" applyAlignment="1" applyProtection="1">
      <alignment horizontal="left" indent="1"/>
      <protection hidden="1"/>
    </xf>
    <xf numFmtId="10" fontId="75" fillId="11" borderId="0" xfId="0" applyNumberFormat="1" applyFont="1" applyFill="1" applyBorder="1" applyAlignment="1" applyProtection="1">
      <alignment horizontal="left" indent="1"/>
      <protection hidden="1"/>
    </xf>
    <xf numFmtId="172" fontId="75" fillId="11" borderId="0" xfId="0" applyNumberFormat="1" applyFont="1" applyFill="1" applyBorder="1" applyAlignment="1" applyProtection="1">
      <alignment horizontal="center"/>
      <protection hidden="1"/>
    </xf>
    <xf numFmtId="1" fontId="2" fillId="24" borderId="76" xfId="0" applyNumberFormat="1" applyFont="1" applyFill="1" applyBorder="1" applyAlignment="1" applyProtection="1">
      <alignment horizontal="center"/>
      <protection hidden="1"/>
    </xf>
    <xf numFmtId="14" fontId="91" fillId="3" borderId="88" xfId="0" applyNumberFormat="1" applyFont="1" applyFill="1" applyBorder="1" applyAlignment="1" applyProtection="1">
      <alignment horizontal="center"/>
      <protection hidden="1"/>
    </xf>
    <xf numFmtId="10" fontId="91" fillId="3" borderId="88" xfId="0" applyNumberFormat="1" applyFont="1" applyFill="1" applyBorder="1" applyAlignment="1" applyProtection="1">
      <alignment horizontal="center"/>
      <protection hidden="1"/>
    </xf>
    <xf numFmtId="167" fontId="91" fillId="3" borderId="71" xfId="0" applyNumberFormat="1" applyFont="1" applyFill="1" applyBorder="1" applyAlignment="1" applyProtection="1">
      <alignment horizontal="center"/>
      <protection hidden="1"/>
    </xf>
    <xf numFmtId="167" fontId="91" fillId="3" borderId="76" xfId="0" applyNumberFormat="1" applyFont="1" applyFill="1" applyBorder="1" applyProtection="1">
      <protection hidden="1"/>
    </xf>
    <xf numFmtId="167" fontId="91" fillId="3" borderId="88" xfId="0" applyNumberFormat="1" applyFont="1" applyFill="1" applyBorder="1" applyAlignment="1" applyProtection="1">
      <alignment horizontal="center"/>
      <protection hidden="1"/>
    </xf>
    <xf numFmtId="0" fontId="91" fillId="3" borderId="67" xfId="0" applyFont="1" applyFill="1" applyBorder="1" applyProtection="1">
      <protection hidden="1"/>
    </xf>
    <xf numFmtId="0" fontId="91" fillId="3" borderId="68" xfId="0" applyFont="1" applyFill="1" applyBorder="1" applyAlignment="1" applyProtection="1">
      <alignment horizontal="center"/>
      <protection hidden="1"/>
    </xf>
    <xf numFmtId="166" fontId="91" fillId="3" borderId="67" xfId="0" applyNumberFormat="1" applyFont="1" applyFill="1" applyBorder="1" applyProtection="1">
      <protection hidden="1"/>
    </xf>
    <xf numFmtId="172" fontId="92" fillId="21" borderId="18" xfId="0" applyNumberFormat="1" applyFont="1" applyFill="1" applyBorder="1" applyAlignment="1" applyProtection="1">
      <alignment horizontal="right" vertical="center"/>
      <protection hidden="1"/>
    </xf>
    <xf numFmtId="172" fontId="88" fillId="3" borderId="178" xfId="0" applyNumberFormat="1" applyFont="1" applyFill="1" applyBorder="1" applyAlignment="1" applyProtection="1">
      <alignment horizontal="right"/>
      <protection hidden="1"/>
    </xf>
    <xf numFmtId="10" fontId="88" fillId="3" borderId="178" xfId="0" applyNumberFormat="1" applyFont="1" applyFill="1" applyBorder="1" applyAlignment="1" applyProtection="1">
      <alignment horizontal="center"/>
      <protection hidden="1"/>
    </xf>
    <xf numFmtId="0" fontId="38" fillId="11" borderId="0" xfId="0" applyFont="1" applyFill="1" applyBorder="1" applyAlignment="1" applyProtection="1">
      <alignment horizontal="left" indent="1"/>
      <protection hidden="1"/>
    </xf>
    <xf numFmtId="14" fontId="84" fillId="29" borderId="213" xfId="0" applyNumberFormat="1" applyFont="1" applyFill="1" applyBorder="1" applyAlignment="1" applyProtection="1">
      <alignment horizontal="center" vertical="center"/>
      <protection hidden="1"/>
    </xf>
    <xf numFmtId="0" fontId="15" fillId="7" borderId="48" xfId="0" applyFont="1" applyFill="1" applyBorder="1" applyProtection="1"/>
    <xf numFmtId="0" fontId="15" fillId="7" borderId="54" xfId="0" applyFont="1" applyFill="1" applyBorder="1" applyProtection="1"/>
    <xf numFmtId="10" fontId="38" fillId="9" borderId="218" xfId="0" applyNumberFormat="1" applyFont="1" applyFill="1" applyBorder="1" applyAlignment="1" applyProtection="1">
      <alignment horizontal="left" indent="1"/>
      <protection hidden="1"/>
    </xf>
    <xf numFmtId="10" fontId="93" fillId="3" borderId="178" xfId="0" applyNumberFormat="1" applyFont="1" applyFill="1" applyBorder="1" applyAlignment="1" applyProtection="1">
      <alignment horizontal="center"/>
      <protection hidden="1"/>
    </xf>
    <xf numFmtId="0" fontId="27" fillId="7" borderId="0" xfId="0" applyFont="1" applyFill="1" applyBorder="1" applyProtection="1">
      <protection locked="0"/>
    </xf>
    <xf numFmtId="0" fontId="15" fillId="7" borderId="20" xfId="0" applyFont="1" applyFill="1" applyBorder="1" applyProtection="1"/>
    <xf numFmtId="0" fontId="15" fillId="7" borderId="48" xfId="0" applyFont="1" applyFill="1" applyBorder="1" applyAlignment="1" applyProtection="1">
      <alignment horizontal="center"/>
    </xf>
    <xf numFmtId="0" fontId="38" fillId="11" borderId="0" xfId="0" applyFont="1" applyFill="1" applyBorder="1" applyAlignment="1" applyProtection="1">
      <alignment horizontal="left" indent="1"/>
      <protection hidden="1"/>
    </xf>
    <xf numFmtId="0" fontId="34" fillId="7" borderId="0" xfId="0" applyFont="1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>
      <alignment horizontal="center" vertical="center"/>
    </xf>
    <xf numFmtId="172" fontId="88" fillId="11" borderId="0" xfId="0" applyNumberFormat="1" applyFont="1" applyFill="1" applyBorder="1" applyAlignment="1" applyProtection="1">
      <alignment horizontal="right"/>
      <protection hidden="1"/>
    </xf>
    <xf numFmtId="172" fontId="39" fillId="12" borderId="222" xfId="0" applyNumberFormat="1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Border="1" applyAlignment="1" applyProtection="1">
      <alignment horizontal="left" indent="1"/>
      <protection hidden="1"/>
    </xf>
    <xf numFmtId="10" fontId="86" fillId="7" borderId="0" xfId="0" applyNumberFormat="1" applyFont="1" applyFill="1" applyBorder="1" applyProtection="1">
      <protection locked="0"/>
    </xf>
    <xf numFmtId="1" fontId="91" fillId="12" borderId="88" xfId="0" applyNumberFormat="1" applyFont="1" applyFill="1" applyBorder="1" applyAlignment="1" applyProtection="1">
      <alignment horizontal="center"/>
    </xf>
    <xf numFmtId="14" fontId="91" fillId="12" borderId="88" xfId="0" applyNumberFormat="1" applyFont="1" applyFill="1" applyBorder="1" applyAlignment="1" applyProtection="1">
      <alignment horizontal="center"/>
    </xf>
    <xf numFmtId="10" fontId="91" fillId="12" borderId="88" xfId="0" applyNumberFormat="1" applyFont="1" applyFill="1" applyBorder="1" applyAlignment="1" applyProtection="1">
      <alignment horizontal="center"/>
    </xf>
    <xf numFmtId="167" fontId="91" fillId="12" borderId="71" xfId="0" applyNumberFormat="1" applyFont="1" applyFill="1" applyBorder="1" applyAlignment="1" applyProtection="1">
      <alignment horizontal="center"/>
    </xf>
    <xf numFmtId="167" fontId="91" fillId="12" borderId="76" xfId="0" applyNumberFormat="1" applyFont="1" applyFill="1" applyBorder="1" applyProtection="1"/>
    <xf numFmtId="172" fontId="91" fillId="12" borderId="88" xfId="0" applyNumberFormat="1" applyFont="1" applyFill="1" applyBorder="1" applyAlignment="1" applyProtection="1">
      <alignment horizontal="center"/>
    </xf>
    <xf numFmtId="0" fontId="91" fillId="12" borderId="67" xfId="0" applyFont="1" applyFill="1" applyBorder="1" applyProtection="1"/>
    <xf numFmtId="0" fontId="91" fillId="12" borderId="68" xfId="0" applyFont="1" applyFill="1" applyBorder="1" applyAlignment="1" applyProtection="1">
      <alignment horizontal="center"/>
    </xf>
    <xf numFmtId="166" fontId="91" fillId="12" borderId="67" xfId="0" applyNumberFormat="1" applyFont="1" applyFill="1" applyBorder="1" applyProtection="1"/>
    <xf numFmtId="1" fontId="82" fillId="11" borderId="0" xfId="0" applyNumberFormat="1" applyFont="1" applyFill="1" applyBorder="1" applyAlignment="1" applyProtection="1">
      <alignment horizontal="center"/>
      <protection hidden="1"/>
    </xf>
    <xf numFmtId="0" fontId="0" fillId="11" borderId="0" xfId="0" applyFill="1" applyBorder="1" applyAlignment="1">
      <alignment horizontal="center"/>
    </xf>
    <xf numFmtId="2" fontId="82" fillId="11" borderId="0" xfId="0" applyNumberFormat="1" applyFont="1" applyFill="1" applyBorder="1" applyAlignment="1" applyProtection="1">
      <alignment horizontal="center"/>
      <protection hidden="1"/>
    </xf>
    <xf numFmtId="9" fontId="82" fillId="11" borderId="0" xfId="0" applyNumberFormat="1" applyFont="1" applyFill="1" applyBorder="1" applyAlignment="1" applyProtection="1">
      <alignment horizontal="center"/>
      <protection hidden="1"/>
    </xf>
    <xf numFmtId="0" fontId="59" fillId="7" borderId="77" xfId="0" applyFont="1" applyFill="1" applyBorder="1" applyProtection="1">
      <protection hidden="1"/>
    </xf>
    <xf numFmtId="0" fontId="39" fillId="10" borderId="89" xfId="0" applyFont="1" applyFill="1" applyBorder="1" applyAlignment="1" applyProtection="1">
      <alignment horizontal="center"/>
      <protection hidden="1"/>
    </xf>
    <xf numFmtId="0" fontId="17" fillId="0" borderId="0" xfId="0" applyNumberFormat="1" applyFont="1" applyFill="1" applyProtection="1">
      <protection locked="0"/>
    </xf>
    <xf numFmtId="14" fontId="43" fillId="7" borderId="60" xfId="1" applyNumberFormat="1" applyFont="1" applyFill="1" applyBorder="1" applyAlignment="1" applyProtection="1">
      <alignment horizontal="center"/>
      <protection hidden="1"/>
    </xf>
    <xf numFmtId="0" fontId="46" fillId="27" borderId="0" xfId="0" applyFont="1" applyFill="1" applyBorder="1" applyProtection="1">
      <protection locked="0" hidden="1"/>
    </xf>
    <xf numFmtId="0" fontId="46" fillId="27" borderId="0" xfId="0" applyFont="1" applyFill="1" applyProtection="1">
      <protection locked="0" hidden="1"/>
    </xf>
    <xf numFmtId="0" fontId="2" fillId="11" borderId="22" xfId="0" applyFont="1" applyFill="1" applyBorder="1" applyProtection="1">
      <protection hidden="1"/>
    </xf>
    <xf numFmtId="1" fontId="87" fillId="11" borderId="0" xfId="0" applyNumberFormat="1" applyFont="1" applyFill="1" applyBorder="1" applyAlignment="1" applyProtection="1">
      <alignment horizontal="center"/>
      <protection hidden="1"/>
    </xf>
    <xf numFmtId="0" fontId="2" fillId="11" borderId="0" xfId="0" applyFont="1" applyFill="1" applyBorder="1" applyAlignment="1" applyProtection="1">
      <alignment horizontal="left" indent="1"/>
      <protection hidden="1"/>
    </xf>
    <xf numFmtId="172" fontId="2" fillId="3" borderId="68" xfId="0" applyNumberFormat="1" applyFont="1" applyFill="1" applyBorder="1" applyAlignment="1" applyProtection="1">
      <alignment horizontal="right"/>
      <protection hidden="1"/>
    </xf>
    <xf numFmtId="172" fontId="2" fillId="3" borderId="53" xfId="0" applyNumberFormat="1" applyFont="1" applyFill="1" applyBorder="1" applyAlignment="1" applyProtection="1">
      <alignment horizontal="right"/>
      <protection hidden="1"/>
    </xf>
    <xf numFmtId="0" fontId="33" fillId="10" borderId="84" xfId="0" applyFont="1" applyFill="1" applyBorder="1" applyAlignment="1" applyProtection="1">
      <alignment horizontal="center"/>
      <protection hidden="1"/>
    </xf>
    <xf numFmtId="0" fontId="33" fillId="10" borderId="5" xfId="0" applyFont="1" applyFill="1" applyBorder="1" applyAlignment="1" applyProtection="1">
      <alignment horizontal="center"/>
      <protection hidden="1"/>
    </xf>
    <xf numFmtId="0" fontId="29" fillId="10" borderId="6" xfId="0" applyFont="1" applyFill="1" applyBorder="1" applyAlignment="1" applyProtection="1">
      <alignment horizontal="center"/>
      <protection hidden="1"/>
    </xf>
    <xf numFmtId="0" fontId="29" fillId="10" borderId="5" xfId="0" applyFont="1" applyFill="1" applyBorder="1" applyAlignment="1" applyProtection="1">
      <alignment horizontal="center"/>
      <protection hidden="1"/>
    </xf>
    <xf numFmtId="172" fontId="2" fillId="3" borderId="50" xfId="0" applyNumberFormat="1" applyFont="1" applyFill="1" applyBorder="1" applyAlignment="1" applyProtection="1">
      <alignment horizontal="right"/>
      <protection hidden="1"/>
    </xf>
    <xf numFmtId="10" fontId="2" fillId="3" borderId="113" xfId="0" applyNumberFormat="1" applyFont="1" applyFill="1" applyBorder="1" applyAlignment="1" applyProtection="1">
      <alignment horizontal="center"/>
      <protection hidden="1"/>
    </xf>
    <xf numFmtId="0" fontId="33" fillId="10" borderId="207" xfId="0" applyFont="1" applyFill="1" applyBorder="1" applyAlignment="1" applyProtection="1">
      <alignment horizontal="center"/>
      <protection hidden="1"/>
    </xf>
    <xf numFmtId="0" fontId="29" fillId="10" borderId="4" xfId="0" applyFont="1" applyFill="1" applyBorder="1" applyProtection="1">
      <protection hidden="1"/>
    </xf>
    <xf numFmtId="172" fontId="2" fillId="3" borderId="72" xfId="0" applyNumberFormat="1" applyFont="1" applyFill="1" applyBorder="1" applyAlignment="1" applyProtection="1">
      <alignment horizontal="right"/>
      <protection hidden="1"/>
    </xf>
    <xf numFmtId="10" fontId="2" fillId="3" borderId="128" xfId="0" applyNumberFormat="1" applyFont="1" applyFill="1" applyBorder="1" applyAlignment="1" applyProtection="1">
      <alignment horizontal="center"/>
      <protection hidden="1"/>
    </xf>
    <xf numFmtId="172" fontId="2" fillId="3" borderId="223" xfId="0" applyNumberFormat="1" applyFont="1" applyFill="1" applyBorder="1" applyAlignment="1" applyProtection="1">
      <alignment horizontal="right"/>
      <protection hidden="1"/>
    </xf>
    <xf numFmtId="10" fontId="2" fillId="3" borderId="119" xfId="0" applyNumberFormat="1" applyFont="1" applyFill="1" applyBorder="1" applyAlignment="1" applyProtection="1">
      <alignment horizontal="center"/>
      <protection hidden="1"/>
    </xf>
    <xf numFmtId="0" fontId="13" fillId="11" borderId="20" xfId="0" applyFont="1" applyFill="1" applyBorder="1" applyAlignment="1" applyProtection="1">
      <alignment horizontal="right"/>
    </xf>
    <xf numFmtId="0" fontId="8" fillId="7" borderId="48" xfId="0" applyFont="1" applyFill="1" applyBorder="1"/>
    <xf numFmtId="0" fontId="67" fillId="7" borderId="0" xfId="0" applyFont="1" applyFill="1" applyProtection="1">
      <protection locked="0" hidden="1"/>
    </xf>
    <xf numFmtId="0" fontId="67" fillId="11" borderId="0" xfId="0" applyFont="1" applyFill="1" applyBorder="1" applyAlignment="1" applyProtection="1">
      <alignment horizontal="center"/>
      <protection locked="0" hidden="1"/>
    </xf>
    <xf numFmtId="0" fontId="67" fillId="11" borderId="0" xfId="0" applyFont="1" applyFill="1" applyBorder="1" applyProtection="1">
      <protection locked="0" hidden="1"/>
    </xf>
    <xf numFmtId="0" fontId="67" fillId="7" borderId="0" xfId="0" applyFont="1" applyFill="1" applyBorder="1" applyProtection="1">
      <protection locked="0" hidden="1"/>
    </xf>
    <xf numFmtId="0" fontId="81" fillId="0" borderId="0" xfId="0" applyFont="1" applyFill="1" applyBorder="1" applyProtection="1">
      <protection locked="0" hidden="1"/>
    </xf>
    <xf numFmtId="1" fontId="81" fillId="0" borderId="0" xfId="0" applyNumberFormat="1" applyFont="1" applyFill="1" applyBorder="1" applyProtection="1">
      <protection locked="0" hidden="1"/>
    </xf>
    <xf numFmtId="14" fontId="81" fillId="0" borderId="0" xfId="0" applyNumberFormat="1" applyFont="1" applyFill="1" applyBorder="1" applyProtection="1">
      <protection locked="0" hidden="1"/>
    </xf>
    <xf numFmtId="0" fontId="81" fillId="0" borderId="0" xfId="0" applyFont="1" applyFill="1" applyBorder="1" applyAlignment="1" applyProtection="1">
      <alignment horizontal="right"/>
      <protection locked="0" hidden="1"/>
    </xf>
    <xf numFmtId="0" fontId="81" fillId="0" borderId="0" xfId="0" applyFont="1" applyFill="1" applyBorder="1" applyAlignment="1" applyProtection="1">
      <alignment horizontal="center" vertical="center"/>
      <protection locked="0" hidden="1"/>
    </xf>
    <xf numFmtId="1" fontId="81" fillId="0" borderId="0" xfId="0" applyNumberFormat="1" applyFont="1" applyFill="1" applyBorder="1" applyAlignment="1" applyProtection="1">
      <alignment horizontal="center"/>
      <protection locked="0" hidden="1"/>
    </xf>
    <xf numFmtId="14" fontId="81" fillId="0" borderId="0" xfId="0" applyNumberFormat="1" applyFont="1" applyFill="1" applyBorder="1" applyAlignment="1" applyProtection="1">
      <alignment horizontal="right"/>
      <protection locked="0" hidden="1"/>
    </xf>
    <xf numFmtId="0" fontId="55" fillId="27" borderId="0" xfId="0" applyFont="1" applyFill="1" applyBorder="1" applyProtection="1">
      <protection locked="0" hidden="1"/>
    </xf>
    <xf numFmtId="0" fontId="81" fillId="0" borderId="0" xfId="0" applyNumberFormat="1" applyFont="1" applyFill="1" applyBorder="1" applyProtection="1">
      <protection locked="0" hidden="1"/>
    </xf>
    <xf numFmtId="10" fontId="81" fillId="0" borderId="0" xfId="0" applyNumberFormat="1" applyFont="1" applyFill="1" applyBorder="1" applyProtection="1">
      <protection hidden="1"/>
    </xf>
    <xf numFmtId="10" fontId="81" fillId="0" borderId="0" xfId="0" applyNumberFormat="1" applyFont="1" applyFill="1" applyBorder="1" applyProtection="1">
      <protection locked="0" hidden="1"/>
    </xf>
    <xf numFmtId="49" fontId="81" fillId="0" borderId="0" xfId="0" applyNumberFormat="1" applyFont="1" applyFill="1" applyBorder="1" applyProtection="1">
      <protection locked="0" hidden="1"/>
    </xf>
    <xf numFmtId="0" fontId="81" fillId="0" borderId="0" xfId="0" applyFont="1" applyFill="1" applyBorder="1" applyAlignment="1" applyProtection="1">
      <alignment horizontal="center"/>
      <protection locked="0" hidden="1"/>
    </xf>
    <xf numFmtId="0" fontId="55" fillId="0" borderId="0" xfId="0" applyFont="1" applyFill="1" applyBorder="1" applyProtection="1">
      <protection locked="0" hidden="1"/>
    </xf>
    <xf numFmtId="1" fontId="81" fillId="0" borderId="0" xfId="0" applyNumberFormat="1" applyFont="1" applyFill="1" applyBorder="1" applyAlignment="1" applyProtection="1">
      <alignment horizontal="right"/>
      <protection locked="0" hidden="1"/>
    </xf>
    <xf numFmtId="0" fontId="55" fillId="0" borderId="0" xfId="0" applyFont="1" applyFill="1" applyProtection="1">
      <protection hidden="1"/>
    </xf>
    <xf numFmtId="1" fontId="81" fillId="0" borderId="0" xfId="0" applyNumberFormat="1" applyFont="1" applyFill="1" applyBorder="1" applyAlignment="1" applyProtection="1">
      <alignment horizontal="center" vertical="center"/>
      <protection locked="0" hidden="1"/>
    </xf>
    <xf numFmtId="0" fontId="81" fillId="0" borderId="0" xfId="0" applyFont="1" applyFill="1" applyBorder="1" applyProtection="1">
      <protection hidden="1"/>
    </xf>
    <xf numFmtId="14" fontId="81" fillId="0" borderId="0" xfId="0" applyNumberFormat="1" applyFont="1" applyFill="1" applyBorder="1" applyAlignment="1" applyProtection="1">
      <alignment horizontal="center"/>
      <protection locked="0" hidden="1"/>
    </xf>
    <xf numFmtId="0" fontId="55" fillId="0" borderId="0" xfId="0" applyFont="1" applyFill="1" applyBorder="1" applyAlignment="1" applyProtection="1">
      <alignment horizontal="center"/>
      <protection locked="0" hidden="1"/>
    </xf>
    <xf numFmtId="10" fontId="81" fillId="0" borderId="0" xfId="0" applyNumberFormat="1" applyFont="1" applyFill="1" applyBorder="1" applyAlignment="1" applyProtection="1">
      <alignment horizontal="center"/>
      <protection locked="0" hidden="1"/>
    </xf>
    <xf numFmtId="10" fontId="81" fillId="0" borderId="0" xfId="0" applyNumberFormat="1" applyFont="1" applyFill="1" applyBorder="1" applyAlignment="1" applyProtection="1">
      <alignment horizontal="right"/>
      <protection locked="0" hidden="1"/>
    </xf>
    <xf numFmtId="10" fontId="81" fillId="0" borderId="0" xfId="0" applyNumberFormat="1" applyFont="1" applyFill="1" applyBorder="1" applyAlignment="1" applyProtection="1">
      <alignment horizontal="center"/>
      <protection hidden="1"/>
    </xf>
    <xf numFmtId="0" fontId="81" fillId="0" borderId="0" xfId="0" applyFont="1" applyFill="1" applyBorder="1" applyAlignment="1" applyProtection="1">
      <alignment horizontal="center"/>
      <protection hidden="1"/>
    </xf>
    <xf numFmtId="14" fontId="81" fillId="0" borderId="0" xfId="0" applyNumberFormat="1" applyFont="1" applyFill="1" applyBorder="1" applyProtection="1">
      <protection hidden="1"/>
    </xf>
    <xf numFmtId="0" fontId="81" fillId="0" borderId="0" xfId="0" applyNumberFormat="1" applyFont="1" applyFill="1" applyBorder="1" applyProtection="1">
      <protection hidden="1"/>
    </xf>
    <xf numFmtId="0" fontId="81" fillId="0" borderId="0" xfId="0" applyFont="1" applyFill="1" applyBorder="1" applyAlignment="1" applyProtection="1">
      <alignment horizontal="right"/>
      <protection hidden="1"/>
    </xf>
    <xf numFmtId="2" fontId="81" fillId="0" borderId="0" xfId="0" applyNumberFormat="1" applyFont="1" applyFill="1" applyBorder="1" applyProtection="1">
      <protection locked="0" hidden="1"/>
    </xf>
    <xf numFmtId="0" fontId="81" fillId="0" borderId="0" xfId="0" applyNumberFormat="1" applyFont="1" applyFill="1" applyBorder="1" applyAlignment="1" applyProtection="1">
      <alignment horizontal="right"/>
      <protection locked="0" hidden="1"/>
    </xf>
    <xf numFmtId="2" fontId="81" fillId="0" borderId="0" xfId="0" applyNumberFormat="1" applyFont="1" applyFill="1" applyBorder="1" applyAlignment="1" applyProtection="1">
      <alignment horizontal="center"/>
      <protection locked="0" hidden="1"/>
    </xf>
    <xf numFmtId="2" fontId="81" fillId="0" borderId="0" xfId="0" applyNumberFormat="1" applyFont="1" applyFill="1" applyBorder="1" applyAlignment="1" applyProtection="1">
      <alignment horizontal="right"/>
      <protection locked="0" hidden="1"/>
    </xf>
    <xf numFmtId="0" fontId="81" fillId="0" borderId="0" xfId="0" applyFont="1" applyFill="1" applyProtection="1">
      <protection locked="0" hidden="1"/>
    </xf>
    <xf numFmtId="1" fontId="81" fillId="0" borderId="0" xfId="0" applyNumberFormat="1" applyFont="1" applyFill="1" applyProtection="1">
      <protection locked="0" hidden="1"/>
    </xf>
    <xf numFmtId="0" fontId="81" fillId="0" borderId="0" xfId="0" applyFont="1" applyFill="1" applyAlignment="1" applyProtection="1">
      <alignment horizontal="right"/>
      <protection locked="0" hidden="1"/>
    </xf>
    <xf numFmtId="0" fontId="55" fillId="0" borderId="0" xfId="0" applyFont="1" applyFill="1" applyProtection="1">
      <protection locked="0" hidden="1"/>
    </xf>
    <xf numFmtId="0" fontId="81" fillId="0" borderId="0" xfId="0" applyFont="1" applyFill="1" applyAlignment="1" applyProtection="1">
      <alignment horizontal="center" vertical="center"/>
      <protection locked="0" hidden="1"/>
    </xf>
    <xf numFmtId="0" fontId="81" fillId="0" borderId="0" xfId="0" applyFont="1" applyFill="1" applyAlignment="1" applyProtection="1">
      <alignment horizontal="center"/>
      <protection locked="0" hidden="1"/>
    </xf>
    <xf numFmtId="0" fontId="55" fillId="0" borderId="0" xfId="0" applyFont="1" applyProtection="1">
      <protection locked="0" hidden="1"/>
    </xf>
    <xf numFmtId="1" fontId="55" fillId="0" borderId="0" xfId="0" applyNumberFormat="1" applyFont="1" applyFill="1" applyProtection="1">
      <protection locked="0" hidden="1"/>
    </xf>
    <xf numFmtId="0" fontId="55" fillId="0" borderId="0" xfId="0" applyFont="1" applyFill="1" applyAlignment="1" applyProtection="1">
      <alignment horizontal="right"/>
      <protection locked="0" hidden="1"/>
    </xf>
    <xf numFmtId="0" fontId="81" fillId="0" borderId="0" xfId="0" applyFont="1" applyFill="1" applyProtection="1">
      <protection hidden="1"/>
    </xf>
    <xf numFmtId="1" fontId="55" fillId="0" borderId="0" xfId="0" applyNumberFormat="1" applyFont="1" applyFill="1" applyProtection="1">
      <protection hidden="1"/>
    </xf>
    <xf numFmtId="0" fontId="55" fillId="0" borderId="0" xfId="0" applyFont="1" applyFill="1" applyAlignment="1" applyProtection="1">
      <alignment horizontal="right"/>
      <protection hidden="1"/>
    </xf>
    <xf numFmtId="0" fontId="81" fillId="0" borderId="0" xfId="0" applyFont="1" applyFill="1" applyAlignment="1" applyProtection="1">
      <alignment horizontal="center" vertical="center"/>
      <protection hidden="1"/>
    </xf>
    <xf numFmtId="0" fontId="81" fillId="0" borderId="0" xfId="0" applyFont="1" applyFill="1" applyAlignment="1" applyProtection="1">
      <alignment horizontal="center"/>
      <protection hidden="1"/>
    </xf>
    <xf numFmtId="0" fontId="95" fillId="0" borderId="0" xfId="0" applyFont="1" applyFill="1" applyProtection="1">
      <protection hidden="1"/>
    </xf>
    <xf numFmtId="1" fontId="17" fillId="0" borderId="0" xfId="0" applyNumberFormat="1" applyFont="1" applyFill="1" applyProtection="1">
      <protection hidden="1"/>
    </xf>
    <xf numFmtId="0" fontId="17" fillId="0" borderId="0" xfId="0" applyFont="1" applyFill="1" applyProtection="1">
      <protection hidden="1"/>
    </xf>
    <xf numFmtId="0" fontId="17" fillId="0" borderId="0" xfId="0" applyFont="1" applyFill="1" applyAlignment="1" applyProtection="1">
      <alignment horizontal="right"/>
      <protection hidden="1"/>
    </xf>
    <xf numFmtId="0" fontId="95" fillId="0" borderId="0" xfId="0" applyFont="1" applyFill="1" applyAlignment="1" applyProtection="1">
      <alignment horizontal="center" vertical="center"/>
      <protection hidden="1"/>
    </xf>
    <xf numFmtId="0" fontId="95" fillId="0" borderId="0" xfId="0" applyFont="1" applyFill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0" fontId="49" fillId="0" borderId="0" xfId="0" applyFont="1" applyFill="1" applyProtection="1">
      <protection hidden="1"/>
    </xf>
    <xf numFmtId="1" fontId="23" fillId="0" borderId="0" xfId="0" applyNumberFormat="1" applyFont="1" applyFill="1" applyProtection="1">
      <protection hidden="1"/>
    </xf>
    <xf numFmtId="0" fontId="23" fillId="0" borderId="0" xfId="0" applyFont="1" applyFill="1" applyProtection="1"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49" fillId="0" borderId="0" xfId="0" applyFont="1" applyFill="1" applyAlignment="1" applyProtection="1">
      <alignment horizontal="center" vertical="center"/>
      <protection hidden="1"/>
    </xf>
    <xf numFmtId="0" fontId="49" fillId="0" borderId="0" xfId="0" applyFont="1" applyFill="1" applyAlignment="1" applyProtection="1">
      <alignment horizontal="center"/>
      <protection hidden="1"/>
    </xf>
    <xf numFmtId="0" fontId="23" fillId="0" borderId="0" xfId="0" applyFont="1" applyProtection="1">
      <protection hidden="1"/>
    </xf>
    <xf numFmtId="2" fontId="2" fillId="11" borderId="0" xfId="0" applyNumberFormat="1" applyFont="1" applyFill="1" applyBorder="1" applyAlignment="1" applyProtection="1">
      <alignment horizontal="center"/>
      <protection locked="0" hidden="1"/>
    </xf>
    <xf numFmtId="0" fontId="2" fillId="7" borderId="0" xfId="0" applyFont="1" applyFill="1" applyBorder="1" applyProtection="1">
      <protection locked="0" hidden="1"/>
    </xf>
    <xf numFmtId="14" fontId="2" fillId="11" borderId="0" xfId="0" applyNumberFormat="1" applyFont="1" applyFill="1" applyBorder="1" applyAlignment="1" applyProtection="1">
      <alignment horizontal="center"/>
      <protection locked="0" hidden="1"/>
    </xf>
    <xf numFmtId="2" fontId="2" fillId="11" borderId="0" xfId="0" applyNumberFormat="1" applyFont="1" applyFill="1" applyBorder="1" applyProtection="1">
      <protection locked="0" hidden="1"/>
    </xf>
    <xf numFmtId="0" fontId="77" fillId="25" borderId="85" xfId="0" applyFont="1" applyFill="1" applyBorder="1" applyProtection="1">
      <protection hidden="1"/>
    </xf>
    <xf numFmtId="1" fontId="2" fillId="3" borderId="179" xfId="0" applyNumberFormat="1" applyFont="1" applyFill="1" applyBorder="1" applyAlignment="1" applyProtection="1">
      <alignment horizontal="center"/>
      <protection hidden="1"/>
    </xf>
    <xf numFmtId="1" fontId="2" fillId="3" borderId="79" xfId="0" applyNumberFormat="1" applyFont="1" applyFill="1" applyBorder="1" applyAlignment="1" applyProtection="1">
      <alignment horizontal="center"/>
      <protection hidden="1"/>
    </xf>
    <xf numFmtId="1" fontId="2" fillId="3" borderId="75" xfId="0" applyNumberFormat="1" applyFont="1" applyFill="1" applyBorder="1" applyProtection="1">
      <protection hidden="1"/>
    </xf>
    <xf numFmtId="14" fontId="2" fillId="11" borderId="0" xfId="0" applyNumberFormat="1" applyFont="1" applyFill="1" applyBorder="1" applyProtection="1">
      <protection locked="0" hidden="1"/>
    </xf>
    <xf numFmtId="0" fontId="39" fillId="10" borderId="5" xfId="0" applyFont="1" applyFill="1" applyBorder="1" applyAlignment="1" applyProtection="1">
      <alignment horizontal="center"/>
      <protection hidden="1"/>
    </xf>
    <xf numFmtId="14" fontId="2" fillId="3" borderId="61" xfId="0" applyNumberFormat="1" applyFont="1" applyFill="1" applyBorder="1" applyAlignment="1" applyProtection="1">
      <alignment horizontal="center"/>
      <protection hidden="1"/>
    </xf>
    <xf numFmtId="1" fontId="2" fillId="11" borderId="0" xfId="0" applyNumberFormat="1" applyFont="1" applyFill="1" applyBorder="1" applyAlignment="1" applyProtection="1">
      <alignment horizontal="center"/>
      <protection hidden="1"/>
    </xf>
    <xf numFmtId="14" fontId="2" fillId="7" borderId="0" xfId="0" applyNumberFormat="1" applyFont="1" applyFill="1" applyBorder="1" applyProtection="1">
      <protection locked="0"/>
    </xf>
    <xf numFmtId="0" fontId="67" fillId="0" borderId="0" xfId="0" applyFont="1" applyProtection="1">
      <protection locked="0"/>
    </xf>
    <xf numFmtId="0" fontId="67" fillId="0" borderId="0" xfId="0" applyFont="1" applyFill="1" applyProtection="1">
      <protection locked="0"/>
    </xf>
    <xf numFmtId="0" fontId="66" fillId="0" borderId="0" xfId="0" applyFont="1" applyFill="1" applyProtection="1">
      <protection locked="0"/>
    </xf>
    <xf numFmtId="0" fontId="64" fillId="0" borderId="0" xfId="0" applyFont="1" applyFill="1" applyAlignment="1" applyProtection="1">
      <alignment horizontal="center"/>
      <protection locked="0"/>
    </xf>
    <xf numFmtId="0" fontId="64" fillId="27" borderId="0" xfId="0" applyFont="1" applyFill="1" applyBorder="1" applyAlignment="1" applyProtection="1">
      <alignment horizontal="center"/>
      <protection locked="0"/>
    </xf>
    <xf numFmtId="0" fontId="64" fillId="27" borderId="0" xfId="0" applyFont="1" applyFill="1" applyBorder="1" applyAlignment="1" applyProtection="1">
      <alignment horizontal="center"/>
      <protection hidden="1"/>
    </xf>
    <xf numFmtId="0" fontId="66" fillId="27" borderId="0" xfId="0" applyFont="1" applyFill="1" applyBorder="1" applyProtection="1">
      <protection locked="0"/>
    </xf>
    <xf numFmtId="0" fontId="65" fillId="27" borderId="0" xfId="0" applyFont="1" applyFill="1" applyBorder="1" applyProtection="1">
      <protection hidden="1"/>
    </xf>
    <xf numFmtId="0" fontId="66" fillId="27" borderId="0" xfId="0" applyFont="1" applyFill="1" applyBorder="1" applyProtection="1">
      <protection hidden="1"/>
    </xf>
    <xf numFmtId="0" fontId="67" fillId="27" borderId="0" xfId="0" applyFont="1" applyFill="1" applyBorder="1" applyProtection="1">
      <protection locked="0"/>
    </xf>
    <xf numFmtId="0" fontId="67" fillId="27" borderId="0" xfId="0" applyFont="1" applyFill="1" applyBorder="1" applyProtection="1">
      <protection hidden="1"/>
    </xf>
    <xf numFmtId="167" fontId="67" fillId="27" borderId="0" xfId="0" applyNumberFormat="1" applyFont="1" applyFill="1" applyBorder="1" applyAlignment="1" applyProtection="1">
      <alignment horizontal="center"/>
      <protection hidden="1"/>
    </xf>
    <xf numFmtId="167" fontId="67" fillId="27" borderId="0" xfId="0" applyNumberFormat="1" applyFont="1" applyFill="1" applyBorder="1" applyProtection="1">
      <protection hidden="1"/>
    </xf>
    <xf numFmtId="164" fontId="67" fillId="33" borderId="0" xfId="0" applyNumberFormat="1" applyFont="1" applyFill="1" applyBorder="1" applyAlignment="1" applyProtection="1">
      <alignment horizontal="right"/>
      <protection hidden="1"/>
    </xf>
    <xf numFmtId="172" fontId="67" fillId="33" borderId="0" xfId="0" applyNumberFormat="1" applyFont="1" applyFill="1" applyBorder="1" applyAlignment="1" applyProtection="1">
      <alignment horizontal="right"/>
      <protection hidden="1"/>
    </xf>
    <xf numFmtId="172" fontId="67" fillId="33" borderId="0" xfId="0" applyNumberFormat="1" applyFont="1" applyFill="1" applyBorder="1" applyProtection="1">
      <protection hidden="1"/>
    </xf>
    <xf numFmtId="172" fontId="67" fillId="33" borderId="0" xfId="0" applyNumberFormat="1" applyFont="1" applyFill="1" applyBorder="1" applyAlignment="1" applyProtection="1">
      <alignment horizontal="center"/>
      <protection hidden="1"/>
    </xf>
    <xf numFmtId="1" fontId="67" fillId="0" borderId="0" xfId="0" applyNumberFormat="1" applyFont="1" applyFill="1" applyBorder="1" applyAlignment="1" applyProtection="1">
      <alignment horizontal="center"/>
      <protection hidden="1"/>
    </xf>
    <xf numFmtId="2" fontId="67" fillId="0" borderId="0" xfId="0" applyNumberFormat="1" applyFont="1" applyFill="1" applyBorder="1" applyProtection="1">
      <protection hidden="1"/>
    </xf>
    <xf numFmtId="0" fontId="96" fillId="0" borderId="0" xfId="0" applyFont="1" applyFill="1" applyProtection="1">
      <protection locked="0"/>
    </xf>
    <xf numFmtId="0" fontId="96" fillId="0" borderId="0" xfId="0" applyFont="1" applyFill="1" applyProtection="1"/>
    <xf numFmtId="0" fontId="96" fillId="0" borderId="0" xfId="0" applyFont="1" applyProtection="1"/>
    <xf numFmtId="0" fontId="96" fillId="0" borderId="0" xfId="0" applyFont="1" applyProtection="1">
      <protection locked="0"/>
    </xf>
    <xf numFmtId="0" fontId="71" fillId="0" borderId="0" xfId="0" applyFont="1" applyFill="1" applyBorder="1" applyProtection="1">
      <protection locked="0" hidden="1"/>
    </xf>
    <xf numFmtId="0" fontId="72" fillId="0" borderId="0" xfId="0" applyFont="1" applyFill="1" applyBorder="1" applyProtection="1">
      <protection locked="0" hidden="1"/>
    </xf>
    <xf numFmtId="0" fontId="67" fillId="0" borderId="0" xfId="0" applyFont="1" applyProtection="1">
      <protection locked="0" hidden="1"/>
    </xf>
    <xf numFmtId="0" fontId="67" fillId="0" borderId="0" xfId="0" applyFont="1" applyFill="1" applyProtection="1">
      <protection locked="0" hidden="1"/>
    </xf>
    <xf numFmtId="49" fontId="67" fillId="0" borderId="0" xfId="0" applyNumberFormat="1" applyFont="1" applyFill="1" applyProtection="1">
      <protection locked="0" hidden="1"/>
    </xf>
    <xf numFmtId="0" fontId="23" fillId="0" borderId="0" xfId="0" applyNumberFormat="1" applyFont="1" applyProtection="1"/>
    <xf numFmtId="0" fontId="23" fillId="0" borderId="0" xfId="0" applyNumberFormat="1" applyFont="1" applyFill="1" applyProtection="1"/>
    <xf numFmtId="1" fontId="23" fillId="0" borderId="0" xfId="0" applyNumberFormat="1" applyFont="1" applyFill="1" applyProtection="1"/>
    <xf numFmtId="0" fontId="31" fillId="0" borderId="0" xfId="0" applyNumberFormat="1" applyFont="1" applyFill="1" applyProtection="1"/>
    <xf numFmtId="0" fontId="49" fillId="0" borderId="0" xfId="0" applyNumberFormat="1" applyFont="1" applyFill="1" applyProtection="1"/>
    <xf numFmtId="0" fontId="50" fillId="0" borderId="0" xfId="0" applyNumberFormat="1" applyFont="1" applyFill="1" applyBorder="1" applyAlignment="1" applyProtection="1">
      <alignment horizontal="center"/>
    </xf>
    <xf numFmtId="0" fontId="51" fillId="0" borderId="0" xfId="0" applyNumberFormat="1" applyFont="1" applyFill="1" applyAlignment="1" applyProtection="1">
      <alignment horizontal="center"/>
    </xf>
    <xf numFmtId="0" fontId="23" fillId="0" borderId="0" xfId="0" applyFont="1" applyFill="1" applyProtection="1">
      <protection locked="0"/>
    </xf>
    <xf numFmtId="10" fontId="97" fillId="0" borderId="0" xfId="0" applyNumberFormat="1" applyFont="1" applyFill="1" applyBorder="1" applyAlignment="1" applyProtection="1">
      <alignment horizontal="center"/>
      <protection hidden="1"/>
    </xf>
    <xf numFmtId="0" fontId="23" fillId="0" borderId="0" xfId="0" applyFont="1" applyFill="1" applyProtection="1">
      <protection locked="0" hidden="1"/>
    </xf>
    <xf numFmtId="0" fontId="98" fillId="0" borderId="0" xfId="0" applyFont="1" applyFill="1" applyProtection="1">
      <protection locked="0" hidden="1"/>
    </xf>
    <xf numFmtId="0" fontId="37" fillId="11" borderId="0" xfId="0" applyFont="1" applyFill="1" applyBorder="1" applyAlignment="1" applyProtection="1">
      <alignment horizontal="left" indent="1"/>
      <protection hidden="1"/>
    </xf>
    <xf numFmtId="0" fontId="18" fillId="7" borderId="93" xfId="0" applyFont="1" applyFill="1" applyBorder="1"/>
    <xf numFmtId="0" fontId="20" fillId="7" borderId="93" xfId="0" applyFont="1" applyFill="1" applyBorder="1"/>
    <xf numFmtId="0" fontId="18" fillId="7" borderId="171" xfId="0" applyFont="1" applyFill="1" applyBorder="1"/>
    <xf numFmtId="0" fontId="18" fillId="7" borderId="49" xfId="0" applyFont="1" applyFill="1" applyBorder="1"/>
    <xf numFmtId="0" fontId="20" fillId="7" borderId="49" xfId="0" applyFont="1" applyFill="1" applyBorder="1"/>
    <xf numFmtId="0" fontId="18" fillId="7" borderId="144" xfId="0" applyFont="1" applyFill="1" applyBorder="1"/>
    <xf numFmtId="0" fontId="4" fillId="7" borderId="93" xfId="0" applyFont="1" applyFill="1" applyBorder="1"/>
    <xf numFmtId="0" fontId="18" fillId="7" borderId="93" xfId="0" applyFont="1" applyFill="1" applyBorder="1" applyAlignment="1">
      <alignment horizontal="center"/>
    </xf>
    <xf numFmtId="0" fontId="4" fillId="7" borderId="49" xfId="0" applyFont="1" applyFill="1" applyBorder="1"/>
    <xf numFmtId="0" fontId="18" fillId="7" borderId="49" xfId="0" applyFont="1" applyFill="1" applyBorder="1" applyAlignment="1">
      <alignment horizontal="center"/>
    </xf>
    <xf numFmtId="174" fontId="13" fillId="6" borderId="66" xfId="0" applyNumberFormat="1" applyFont="1" applyFill="1" applyBorder="1" applyAlignment="1">
      <alignment horizontal="center"/>
    </xf>
    <xf numFmtId="174" fontId="13" fillId="8" borderId="164" xfId="0" applyNumberFormat="1" applyFont="1" applyFill="1" applyBorder="1" applyAlignment="1">
      <alignment horizontal="center"/>
    </xf>
    <xf numFmtId="174" fontId="13" fillId="8" borderId="35" xfId="0" applyNumberFormat="1" applyFont="1" applyFill="1" applyBorder="1" applyAlignment="1">
      <alignment horizontal="center"/>
    </xf>
    <xf numFmtId="174" fontId="13" fillId="8" borderId="17" xfId="0" applyNumberFormat="1" applyFont="1" applyFill="1" applyBorder="1"/>
    <xf numFmtId="174" fontId="13" fillId="6" borderId="59" xfId="0" applyNumberFormat="1" applyFont="1" applyFill="1" applyBorder="1" applyAlignment="1">
      <alignment horizontal="center"/>
    </xf>
    <xf numFmtId="174" fontId="13" fillId="8" borderId="162" xfId="0" applyNumberFormat="1" applyFont="1" applyFill="1" applyBorder="1" applyAlignment="1">
      <alignment horizontal="center"/>
    </xf>
    <xf numFmtId="174" fontId="13" fillId="8" borderId="19" xfId="0" applyNumberFormat="1" applyFont="1" applyFill="1" applyBorder="1" applyAlignment="1">
      <alignment horizontal="center"/>
    </xf>
    <xf numFmtId="174" fontId="13" fillId="8" borderId="15" xfId="0" applyNumberFormat="1" applyFont="1" applyFill="1" applyBorder="1"/>
    <xf numFmtId="174" fontId="13" fillId="8" borderId="166" xfId="0" applyNumberFormat="1" applyFont="1" applyFill="1" applyBorder="1" applyAlignment="1">
      <alignment horizontal="center"/>
    </xf>
    <xf numFmtId="174" fontId="13" fillId="8" borderId="91" xfId="0" applyNumberFormat="1" applyFont="1" applyFill="1" applyBorder="1" applyAlignment="1">
      <alignment horizontal="center"/>
    </xf>
    <xf numFmtId="174" fontId="13" fillId="8" borderId="38" xfId="0" applyNumberFormat="1" applyFont="1" applyFill="1" applyBorder="1"/>
    <xf numFmtId="174" fontId="13" fillId="6" borderId="160" xfId="0" applyNumberFormat="1" applyFont="1" applyFill="1" applyBorder="1" applyAlignment="1">
      <alignment horizontal="center"/>
    </xf>
    <xf numFmtId="174" fontId="13" fillId="8" borderId="165" xfId="0" applyNumberFormat="1" applyFont="1" applyFill="1" applyBorder="1" applyAlignment="1">
      <alignment horizontal="center"/>
    </xf>
    <xf numFmtId="174" fontId="13" fillId="8" borderId="25" xfId="0" applyNumberFormat="1" applyFont="1" applyFill="1" applyBorder="1" applyAlignment="1">
      <alignment horizontal="center"/>
    </xf>
    <xf numFmtId="174" fontId="13" fillId="8" borderId="26" xfId="0" applyNumberFormat="1" applyFont="1" applyFill="1" applyBorder="1"/>
    <xf numFmtId="174" fontId="13" fillId="6" borderId="135" xfId="0" applyNumberFormat="1" applyFont="1" applyFill="1" applyBorder="1" applyAlignment="1">
      <alignment horizontal="center"/>
    </xf>
    <xf numFmtId="174" fontId="13" fillId="6" borderId="65" xfId="0" applyNumberFormat="1" applyFont="1" applyFill="1" applyBorder="1" applyAlignment="1">
      <alignment horizontal="center"/>
    </xf>
    <xf numFmtId="14" fontId="38" fillId="9" borderId="87" xfId="0" applyNumberFormat="1" applyFont="1" applyFill="1" applyBorder="1" applyAlignment="1" applyProtection="1">
      <alignment horizontal="center"/>
      <protection hidden="1"/>
    </xf>
    <xf numFmtId="0" fontId="44" fillId="24" borderId="224" xfId="0" applyFont="1" applyFill="1" applyBorder="1"/>
    <xf numFmtId="0" fontId="44" fillId="24" borderId="225" xfId="0" applyFont="1" applyFill="1" applyBorder="1"/>
    <xf numFmtId="0" fontId="44" fillId="24" borderId="226" xfId="0" applyFont="1" applyFill="1" applyBorder="1"/>
    <xf numFmtId="0" fontId="71" fillId="0" borderId="0" xfId="0" applyFont="1" applyProtection="1">
      <protection locked="0"/>
    </xf>
    <xf numFmtId="2" fontId="71" fillId="0" borderId="0" xfId="0" applyNumberFormat="1" applyFont="1" applyProtection="1">
      <protection locked="0" hidden="1"/>
    </xf>
    <xf numFmtId="14" fontId="71" fillId="0" borderId="0" xfId="0" applyNumberFormat="1" applyFont="1" applyFill="1" applyProtection="1">
      <protection locked="0" hidden="1"/>
    </xf>
    <xf numFmtId="0" fontId="71" fillId="0" borderId="0" xfId="0" applyFont="1" applyProtection="1">
      <protection hidden="1"/>
    </xf>
    <xf numFmtId="0" fontId="72" fillId="0" borderId="0" xfId="0" applyFont="1" applyProtection="1">
      <protection hidden="1"/>
    </xf>
    <xf numFmtId="0" fontId="25" fillId="9" borderId="16" xfId="0" applyFont="1" applyFill="1" applyBorder="1" applyAlignment="1" applyProtection="1">
      <alignment horizontal="left" vertical="center" indent="1"/>
    </xf>
    <xf numFmtId="0" fontId="25" fillId="9" borderId="123" xfId="0" applyFont="1" applyFill="1" applyBorder="1" applyAlignment="1" applyProtection="1">
      <alignment horizontal="left" vertical="center" indent="1"/>
    </xf>
    <xf numFmtId="0" fontId="35" fillId="9" borderId="16" xfId="0" applyFont="1" applyFill="1" applyBorder="1" applyAlignment="1" applyProtection="1">
      <alignment horizontal="left" vertical="center" indent="1"/>
    </xf>
    <xf numFmtId="0" fontId="35" fillId="9" borderId="123" xfId="0" applyFont="1" applyFill="1" applyBorder="1" applyAlignment="1" applyProtection="1">
      <alignment horizontal="left" vertical="center" indent="1"/>
    </xf>
    <xf numFmtId="0" fontId="25" fillId="9" borderId="16" xfId="0" applyFont="1" applyFill="1" applyBorder="1" applyAlignment="1" applyProtection="1">
      <alignment horizontal="left" indent="1"/>
    </xf>
    <xf numFmtId="0" fontId="25" fillId="9" borderId="123" xfId="0" applyFont="1" applyFill="1" applyBorder="1" applyAlignment="1" applyProtection="1">
      <alignment horizontal="left" indent="1"/>
    </xf>
    <xf numFmtId="0" fontId="70" fillId="16" borderId="124" xfId="0" applyNumberFormat="1" applyFont="1" applyFill="1" applyBorder="1" applyAlignment="1" applyProtection="1">
      <alignment horizontal="center"/>
      <protection hidden="1"/>
    </xf>
    <xf numFmtId="0" fontId="70" fillId="16" borderId="104" xfId="0" applyNumberFormat="1" applyFont="1" applyFill="1" applyBorder="1" applyAlignment="1" applyProtection="1">
      <alignment horizontal="center"/>
      <protection hidden="1"/>
    </xf>
    <xf numFmtId="0" fontId="83" fillId="29" borderId="211" xfId="0" applyFont="1" applyFill="1" applyBorder="1" applyAlignment="1" applyProtection="1">
      <alignment horizontal="left" vertical="center" indent="1"/>
    </xf>
    <xf numFmtId="0" fontId="83" fillId="29" borderId="212" xfId="0" applyFont="1" applyFill="1" applyBorder="1" applyAlignment="1" applyProtection="1">
      <alignment horizontal="left" vertical="center" indent="1"/>
    </xf>
    <xf numFmtId="0" fontId="25" fillId="9" borderId="16" xfId="0" applyFont="1" applyFill="1" applyBorder="1" applyAlignment="1" applyProtection="1">
      <alignment horizontal="center"/>
    </xf>
    <xf numFmtId="0" fontId="25" fillId="9" borderId="123" xfId="0" applyFont="1" applyFill="1" applyBorder="1" applyAlignment="1" applyProtection="1">
      <alignment horizontal="center"/>
    </xf>
    <xf numFmtId="2" fontId="85" fillId="32" borderId="209" xfId="0" applyNumberFormat="1" applyFont="1" applyFill="1" applyBorder="1" applyAlignment="1" applyProtection="1">
      <alignment horizontal="center" vertical="center"/>
      <protection hidden="1"/>
    </xf>
    <xf numFmtId="0" fontId="0" fillId="0" borderId="209" xfId="0" applyBorder="1" applyAlignment="1">
      <alignment horizontal="center" vertical="center"/>
    </xf>
    <xf numFmtId="0" fontId="0" fillId="0" borderId="208" xfId="0" applyBorder="1" applyAlignment="1">
      <alignment horizontal="center" vertical="center"/>
    </xf>
    <xf numFmtId="0" fontId="33" fillId="10" borderId="111" xfId="0" applyFont="1" applyFill="1" applyBorder="1" applyAlignment="1" applyProtection="1">
      <alignment horizontal="center"/>
      <protection hidden="1"/>
    </xf>
    <xf numFmtId="0" fontId="33" fillId="10" borderId="112" xfId="0" applyFont="1" applyFill="1" applyBorder="1" applyAlignment="1" applyProtection="1">
      <alignment horizontal="center"/>
      <protection hidden="1"/>
    </xf>
    <xf numFmtId="0" fontId="39" fillId="10" borderId="103" xfId="0" applyFont="1" applyFill="1" applyBorder="1" applyAlignment="1" applyProtection="1">
      <alignment horizontal="center"/>
      <protection hidden="1"/>
    </xf>
    <xf numFmtId="0" fontId="39" fillId="10" borderId="86" xfId="0" applyFont="1" applyFill="1" applyBorder="1" applyAlignment="1" applyProtection="1">
      <alignment horizontal="center"/>
      <protection hidden="1"/>
    </xf>
    <xf numFmtId="0" fontId="33" fillId="7" borderId="0" xfId="0" applyFont="1" applyFill="1" applyBorder="1" applyAlignment="1" applyProtection="1">
      <alignment horizontal="center"/>
      <protection hidden="1"/>
    </xf>
    <xf numFmtId="0" fontId="33" fillId="10" borderId="118" xfId="0" applyFont="1" applyFill="1" applyBorder="1" applyAlignment="1" applyProtection="1">
      <alignment horizontal="center"/>
      <protection hidden="1"/>
    </xf>
    <xf numFmtId="0" fontId="2" fillId="9" borderId="111" xfId="0" applyFont="1" applyFill="1" applyBorder="1" applyAlignment="1" applyProtection="1">
      <alignment horizontal="center"/>
      <protection hidden="1"/>
    </xf>
    <xf numFmtId="0" fontId="2" fillId="9" borderId="118" xfId="0" applyFont="1" applyFill="1" applyBorder="1" applyAlignment="1" applyProtection="1">
      <alignment horizontal="center"/>
      <protection hidden="1"/>
    </xf>
    <xf numFmtId="0" fontId="2" fillId="9" borderId="115" xfId="0" applyFont="1" applyFill="1" applyBorder="1" applyAlignment="1" applyProtection="1">
      <alignment horizontal="center"/>
      <protection hidden="1"/>
    </xf>
    <xf numFmtId="0" fontId="2" fillId="9" borderId="131" xfId="0" applyFont="1" applyFill="1" applyBorder="1" applyAlignment="1" applyProtection="1">
      <alignment horizontal="center"/>
      <protection hidden="1"/>
    </xf>
    <xf numFmtId="0" fontId="0" fillId="0" borderId="112" xfId="0" applyBorder="1" applyAlignment="1">
      <alignment horizontal="center"/>
    </xf>
    <xf numFmtId="0" fontId="0" fillId="0" borderId="118" xfId="0" applyBorder="1" applyAlignment="1">
      <alignment horizontal="center"/>
    </xf>
    <xf numFmtId="0" fontId="34" fillId="29" borderId="215" xfId="0" applyFont="1" applyFill="1" applyBorder="1" applyAlignment="1" applyProtection="1">
      <alignment horizontal="center" vertical="center"/>
      <protection hidden="1"/>
    </xf>
    <xf numFmtId="0" fontId="0" fillId="0" borderId="216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88" fillId="11" borderId="0" xfId="0" applyFont="1" applyFill="1" applyBorder="1" applyAlignment="1" applyProtection="1">
      <alignment horizontal="center"/>
      <protection hidden="1"/>
    </xf>
    <xf numFmtId="0" fontId="0" fillId="7" borderId="0" xfId="0" applyFill="1" applyBorder="1" applyAlignment="1">
      <alignment horizontal="center"/>
    </xf>
    <xf numFmtId="0" fontId="38" fillId="11" borderId="0" xfId="0" applyFont="1" applyFill="1" applyBorder="1" applyAlignment="1" applyProtection="1">
      <alignment horizontal="left" indent="1"/>
      <protection hidden="1"/>
    </xf>
    <xf numFmtId="0" fontId="37" fillId="11" borderId="0" xfId="0" applyFont="1" applyFill="1" applyBorder="1" applyAlignment="1" applyProtection="1">
      <alignment horizontal="left" indent="1"/>
      <protection hidden="1"/>
    </xf>
    <xf numFmtId="0" fontId="34" fillId="31" borderId="215" xfId="0" applyFont="1" applyFill="1" applyBorder="1" applyAlignment="1" applyProtection="1">
      <alignment horizontal="center" vertical="center"/>
      <protection hidden="1"/>
    </xf>
    <xf numFmtId="0" fontId="34" fillId="31" borderId="216" xfId="0" applyFont="1" applyFill="1" applyBorder="1" applyAlignment="1" applyProtection="1">
      <alignment horizontal="center" vertical="center"/>
      <protection hidden="1"/>
    </xf>
    <xf numFmtId="0" fontId="0" fillId="0" borderId="220" xfId="0" applyBorder="1" applyAlignment="1">
      <alignment horizontal="center"/>
    </xf>
    <xf numFmtId="0" fontId="94" fillId="32" borderId="210" xfId="0" applyFont="1" applyFill="1" applyBorder="1" applyAlignment="1" applyProtection="1">
      <alignment horizontal="center"/>
      <protection hidden="1"/>
    </xf>
    <xf numFmtId="0" fontId="0" fillId="0" borderId="209" xfId="0" applyBorder="1" applyAlignment="1">
      <alignment horizontal="center"/>
    </xf>
    <xf numFmtId="0" fontId="0" fillId="0" borderId="208" xfId="0" applyBorder="1" applyAlignment="1">
      <alignment horizontal="center"/>
    </xf>
    <xf numFmtId="2" fontId="85" fillId="32" borderId="210" xfId="0" applyNumberFormat="1" applyFont="1" applyFill="1" applyBorder="1" applyAlignment="1" applyProtection="1">
      <alignment horizontal="center" vertical="center"/>
      <protection hidden="1"/>
    </xf>
    <xf numFmtId="1" fontId="82" fillId="3" borderId="217" xfId="0" applyNumberFormat="1" applyFont="1" applyFill="1" applyBorder="1" applyAlignment="1" applyProtection="1">
      <alignment horizontal="center"/>
      <protection hidden="1"/>
    </xf>
    <xf numFmtId="0" fontId="0" fillId="0" borderId="220" xfId="0" applyBorder="1" applyAlignment="1"/>
    <xf numFmtId="0" fontId="39" fillId="31" borderId="215" xfId="0" applyFont="1" applyFill="1" applyBorder="1" applyAlignment="1" applyProtection="1">
      <alignment horizontal="center" vertical="center"/>
      <protection hidden="1"/>
    </xf>
    <xf numFmtId="0" fontId="0" fillId="0" borderId="216" xfId="0" applyFont="1" applyBorder="1" applyAlignment="1">
      <alignment horizontal="center" vertical="center"/>
    </xf>
    <xf numFmtId="0" fontId="0" fillId="0" borderId="219" xfId="0" applyFont="1" applyBorder="1" applyAlignment="1">
      <alignment horizontal="center" vertical="center"/>
    </xf>
    <xf numFmtId="0" fontId="39" fillId="31" borderId="221" xfId="0" applyFont="1" applyFill="1" applyBorder="1" applyAlignment="1" applyProtection="1">
      <alignment horizontal="center" vertical="center"/>
      <protection hidden="1"/>
    </xf>
    <xf numFmtId="0" fontId="0" fillId="0" borderId="222" xfId="0" applyFont="1" applyBorder="1" applyAlignment="1">
      <alignment horizontal="center" vertical="center"/>
    </xf>
    <xf numFmtId="0" fontId="0" fillId="0" borderId="222" xfId="0" applyFont="1" applyBorder="1" applyAlignment="1"/>
    <xf numFmtId="10" fontId="38" fillId="9" borderId="210" xfId="0" applyNumberFormat="1" applyFont="1" applyFill="1" applyBorder="1" applyAlignment="1" applyProtection="1">
      <alignment horizontal="center"/>
      <protection hidden="1"/>
    </xf>
    <xf numFmtId="0" fontId="0" fillId="0" borderId="218" xfId="0" applyBorder="1" applyAlignment="1">
      <alignment horizontal="center"/>
    </xf>
    <xf numFmtId="0" fontId="0" fillId="0" borderId="216" xfId="0" applyBorder="1" applyAlignment="1"/>
    <xf numFmtId="0" fontId="0" fillId="29" borderId="216" xfId="0" applyFill="1" applyBorder="1" applyAlignment="1">
      <alignment horizontal="center" vertical="center"/>
    </xf>
    <xf numFmtId="0" fontId="2" fillId="9" borderId="111" xfId="0" applyFont="1" applyFill="1" applyBorder="1" applyAlignment="1" applyProtection="1">
      <alignment horizontal="center"/>
    </xf>
    <xf numFmtId="0" fontId="2" fillId="9" borderId="118" xfId="0" applyFont="1" applyFill="1" applyBorder="1" applyAlignment="1" applyProtection="1">
      <alignment horizontal="center"/>
    </xf>
    <xf numFmtId="0" fontId="2" fillId="9" borderId="115" xfId="0" applyFont="1" applyFill="1" applyBorder="1" applyAlignment="1" applyProtection="1">
      <alignment horizontal="center"/>
    </xf>
    <xf numFmtId="0" fontId="2" fillId="9" borderId="131" xfId="0" applyFont="1" applyFill="1" applyBorder="1" applyAlignment="1" applyProtection="1">
      <alignment horizontal="center"/>
    </xf>
    <xf numFmtId="0" fontId="33" fillId="10" borderId="111" xfId="0" applyFont="1" applyFill="1" applyBorder="1" applyAlignment="1" applyProtection="1">
      <alignment horizontal="center"/>
    </xf>
    <xf numFmtId="0" fontId="33" fillId="10" borderId="118" xfId="0" applyFont="1" applyFill="1" applyBorder="1" applyAlignment="1" applyProtection="1">
      <alignment horizontal="center"/>
    </xf>
    <xf numFmtId="0" fontId="33" fillId="10" borderId="112" xfId="0" applyFont="1" applyFill="1" applyBorder="1" applyAlignment="1" applyProtection="1">
      <alignment horizontal="center"/>
    </xf>
    <xf numFmtId="0" fontId="89" fillId="11" borderId="0" xfId="0" applyFont="1" applyFill="1" applyBorder="1" applyAlignment="1">
      <alignment horizontal="center"/>
    </xf>
    <xf numFmtId="0" fontId="0" fillId="0" borderId="216" xfId="0" applyBorder="1" applyAlignment="1">
      <alignment horizontal="center"/>
    </xf>
    <xf numFmtId="0" fontId="0" fillId="0" borderId="220" xfId="0" applyBorder="1" applyAlignment="1">
      <alignment horizontal="center" vertical="center"/>
    </xf>
    <xf numFmtId="0" fontId="46" fillId="10" borderId="137" xfId="0" applyFont="1" applyFill="1" applyBorder="1" applyAlignment="1" applyProtection="1">
      <alignment horizontal="center"/>
      <protection hidden="1"/>
    </xf>
    <xf numFmtId="0" fontId="0" fillId="0" borderId="172" xfId="0" applyBorder="1" applyAlignment="1">
      <alignment horizontal="center"/>
    </xf>
    <xf numFmtId="14" fontId="44" fillId="19" borderId="145" xfId="0" applyNumberFormat="1" applyFont="1" applyFill="1" applyBorder="1" applyAlignment="1" applyProtection="1">
      <alignment horizontal="center"/>
      <protection hidden="1"/>
    </xf>
    <xf numFmtId="14" fontId="44" fillId="19" borderId="67" xfId="0" applyNumberFormat="1" applyFont="1" applyFill="1" applyBorder="1" applyAlignment="1" applyProtection="1">
      <alignment horizontal="center"/>
      <protection hidden="1"/>
    </xf>
    <xf numFmtId="14" fontId="44" fillId="19" borderId="143" xfId="0" applyNumberFormat="1" applyFont="1" applyFill="1" applyBorder="1" applyAlignment="1" applyProtection="1">
      <alignment horizontal="center"/>
      <protection hidden="1"/>
    </xf>
    <xf numFmtId="1" fontId="44" fillId="19" borderId="146" xfId="0" applyNumberFormat="1" applyFont="1" applyFill="1" applyBorder="1" applyAlignment="1" applyProtection="1">
      <alignment horizontal="center"/>
      <protection hidden="1"/>
    </xf>
    <xf numFmtId="1" fontId="44" fillId="19" borderId="49" xfId="0" applyNumberFormat="1" applyFont="1" applyFill="1" applyBorder="1" applyAlignment="1" applyProtection="1">
      <alignment horizontal="center"/>
      <protection hidden="1"/>
    </xf>
    <xf numFmtId="1" fontId="44" fillId="19" borderId="144" xfId="0" applyNumberFormat="1" applyFont="1" applyFill="1" applyBorder="1" applyAlignment="1" applyProtection="1">
      <alignment horizontal="center"/>
      <protection hidden="1"/>
    </xf>
    <xf numFmtId="0" fontId="44" fillId="19" borderId="146" xfId="0" applyFont="1" applyFill="1" applyBorder="1" applyAlignment="1" applyProtection="1">
      <alignment horizontal="center"/>
      <protection hidden="1"/>
    </xf>
    <xf numFmtId="0" fontId="44" fillId="19" borderId="49" xfId="0" applyFont="1" applyFill="1" applyBorder="1" applyAlignment="1" applyProtection="1">
      <alignment horizontal="center"/>
      <protection hidden="1"/>
    </xf>
    <xf numFmtId="0" fontId="44" fillId="19" borderId="144" xfId="0" applyFont="1" applyFill="1" applyBorder="1" applyAlignment="1" applyProtection="1">
      <alignment horizontal="center"/>
      <protection hidden="1"/>
    </xf>
    <xf numFmtId="0" fontId="61" fillId="12" borderId="0" xfId="0" applyFont="1" applyFill="1" applyBorder="1" applyAlignment="1">
      <alignment horizontal="center"/>
    </xf>
    <xf numFmtId="2" fontId="44" fillId="19" borderId="146" xfId="0" applyNumberFormat="1" applyFont="1" applyFill="1" applyBorder="1" applyAlignment="1" applyProtection="1">
      <alignment horizontal="center"/>
      <protection hidden="1"/>
    </xf>
    <xf numFmtId="2" fontId="44" fillId="19" borderId="147" xfId="0" applyNumberFormat="1" applyFont="1" applyFill="1" applyBorder="1" applyAlignment="1" applyProtection="1">
      <alignment horizontal="center"/>
      <protection hidden="1"/>
    </xf>
    <xf numFmtId="0" fontId="44" fillId="19" borderId="70" xfId="0" applyFont="1" applyFill="1" applyBorder="1" applyAlignment="1" applyProtection="1">
      <alignment horizontal="center"/>
      <protection hidden="1"/>
    </xf>
    <xf numFmtId="0" fontId="44" fillId="19" borderId="148" xfId="0" applyFont="1" applyFill="1" applyBorder="1" applyAlignment="1" applyProtection="1">
      <alignment horizontal="center"/>
      <protection hidden="1"/>
    </xf>
    <xf numFmtId="171" fontId="44" fillId="19" borderId="156" xfId="0" applyNumberFormat="1" applyFont="1" applyFill="1" applyBorder="1" applyAlignment="1" applyProtection="1">
      <alignment horizontal="right" indent="1"/>
      <protection hidden="1"/>
    </xf>
    <xf numFmtId="171" fontId="44" fillId="19" borderId="143" xfId="0" applyNumberFormat="1" applyFont="1" applyFill="1" applyBorder="1" applyAlignment="1" applyProtection="1">
      <alignment horizontal="right" indent="1"/>
      <protection hidden="1"/>
    </xf>
    <xf numFmtId="171" fontId="44" fillId="19" borderId="73" xfId="0" applyNumberFormat="1" applyFont="1" applyFill="1" applyBorder="1" applyAlignment="1" applyProtection="1">
      <alignment horizontal="right" indent="1"/>
      <protection hidden="1"/>
    </xf>
    <xf numFmtId="171" fontId="44" fillId="19" borderId="144" xfId="0" applyNumberFormat="1" applyFont="1" applyFill="1" applyBorder="1" applyAlignment="1" applyProtection="1">
      <alignment horizontal="right" indent="1"/>
      <protection hidden="1"/>
    </xf>
    <xf numFmtId="9" fontId="44" fillId="19" borderId="152" xfId="0" applyNumberFormat="1" applyFont="1" applyFill="1" applyBorder="1" applyAlignment="1" applyProtection="1">
      <alignment horizontal="right" indent="1"/>
      <protection hidden="1"/>
    </xf>
    <xf numFmtId="9" fontId="44" fillId="19" borderId="158" xfId="0" applyNumberFormat="1" applyFont="1" applyFill="1" applyBorder="1" applyAlignment="1" applyProtection="1">
      <alignment horizontal="right" indent="1"/>
      <protection hidden="1"/>
    </xf>
    <xf numFmtId="9" fontId="44" fillId="19" borderId="73" xfId="0" applyNumberFormat="1" applyFont="1" applyFill="1" applyBorder="1" applyAlignment="1" applyProtection="1">
      <alignment horizontal="right" indent="1"/>
      <protection hidden="1"/>
    </xf>
    <xf numFmtId="9" fontId="44" fillId="19" borderId="144" xfId="0" applyNumberFormat="1" applyFont="1" applyFill="1" applyBorder="1" applyAlignment="1" applyProtection="1">
      <alignment horizontal="right" indent="1"/>
      <protection hidden="1"/>
    </xf>
    <xf numFmtId="171" fontId="43" fillId="19" borderId="73" xfId="0" applyNumberFormat="1" applyFont="1" applyFill="1" applyBorder="1" applyAlignment="1" applyProtection="1">
      <alignment horizontal="right" indent="1"/>
      <protection hidden="1"/>
    </xf>
    <xf numFmtId="171" fontId="43" fillId="19" borderId="144" xfId="0" applyNumberFormat="1" applyFont="1" applyFill="1" applyBorder="1" applyAlignment="1" applyProtection="1">
      <alignment horizontal="right" indent="1"/>
      <protection hidden="1"/>
    </xf>
    <xf numFmtId="10" fontId="44" fillId="19" borderId="73" xfId="0" applyNumberFormat="1" applyFont="1" applyFill="1" applyBorder="1" applyAlignment="1" applyProtection="1">
      <alignment horizontal="right" indent="1"/>
      <protection hidden="1"/>
    </xf>
    <xf numFmtId="10" fontId="44" fillId="19" borderId="144" xfId="0" applyNumberFormat="1" applyFont="1" applyFill="1" applyBorder="1" applyAlignment="1" applyProtection="1">
      <alignment horizontal="right" indent="1"/>
      <protection hidden="1"/>
    </xf>
    <xf numFmtId="0" fontId="0" fillId="0" borderId="144" xfId="0" applyBorder="1" applyAlignment="1">
      <alignment horizontal="right" indent="1"/>
    </xf>
    <xf numFmtId="0" fontId="41" fillId="7" borderId="0" xfId="0" applyFont="1" applyFill="1" applyAlignment="1">
      <alignment horizontal="left"/>
    </xf>
    <xf numFmtId="0" fontId="41" fillId="16" borderId="0" xfId="0" applyFont="1" applyFill="1" applyAlignment="1">
      <alignment horizontal="left"/>
    </xf>
    <xf numFmtId="0" fontId="40" fillId="16" borderId="16" xfId="0" applyFont="1" applyFill="1" applyBorder="1" applyAlignment="1">
      <alignment horizontal="center"/>
    </xf>
    <xf numFmtId="0" fontId="40" fillId="16" borderId="87" xfId="0" applyFont="1" applyFill="1" applyBorder="1" applyAlignment="1">
      <alignment horizontal="center"/>
    </xf>
    <xf numFmtId="0" fontId="40" fillId="16" borderId="104" xfId="0" applyFont="1" applyFill="1" applyBorder="1" applyAlignment="1">
      <alignment horizontal="center"/>
    </xf>
    <xf numFmtId="0" fontId="41" fillId="10" borderId="0" xfId="0" applyFont="1" applyFill="1" applyAlignment="1">
      <alignment horizontal="center"/>
    </xf>
  </cellXfs>
  <cellStyles count="9">
    <cellStyle name="Excel Built-in Hyperlink" xfId="4"/>
    <cellStyle name="Excel Built-in Normal" xfId="1"/>
    <cellStyle name="Heading" xfId="5"/>
    <cellStyle name="Heading1" xfId="6"/>
    <cellStyle name="Result" xfId="7"/>
    <cellStyle name="Result2" xfId="8"/>
    <cellStyle name="Денежный 2" xfId="3"/>
    <cellStyle name="Обычный" xfId="0" builtinId="0"/>
    <cellStyle name="Обычный 2" xfId="2"/>
  </cellStyles>
  <dxfs count="60"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strike val="0"/>
        <color rgb="FF0070C0"/>
      </font>
    </dxf>
    <dxf>
      <font>
        <strike val="0"/>
        <color rgb="FF0070C0"/>
      </font>
    </dxf>
    <dxf>
      <font>
        <strike val="0"/>
        <color rgb="FF0070C0"/>
      </font>
    </dxf>
    <dxf>
      <font>
        <strike val="0"/>
        <color rgb="FF0070C0"/>
      </font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b/>
        <i val="0"/>
        <strike val="0"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rgb="FF002060"/>
        </top>
        <bottom style="dotted">
          <color rgb="FF002060"/>
        </bottom>
      </border>
    </dxf>
    <dxf>
      <font>
        <b/>
        <i val="0"/>
        <strike val="0"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</font>
      <fill>
        <patternFill patternType="solid">
          <fgColor auto="1"/>
          <bgColor theme="6" tint="0.79998168889431442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39994506668294322"/>
        </patternFill>
      </fill>
      <border>
        <top style="hair">
          <color auto="1"/>
        </top>
        <vertical/>
        <horizontal/>
      </border>
    </dxf>
    <dxf>
      <fill>
        <patternFill>
          <bgColor theme="6" tint="0.79998168889431442"/>
        </patternFill>
      </fill>
      <border>
        <top style="thin">
          <color theme="6" tint="0.39994506668294322"/>
        </top>
      </border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  <border>
        <top style="thin">
          <color theme="4" tint="0.59996337778862885"/>
        </top>
        <vertical/>
        <horizontal/>
      </border>
    </dxf>
    <dxf>
      <fill>
        <patternFill>
          <bgColor rgb="FFFFFFCC"/>
        </patternFill>
      </fill>
    </dxf>
    <dxf>
      <font>
        <color rgb="FFFF0000"/>
      </font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rgb="FF002060"/>
        </top>
        <bottom style="dotted">
          <color rgb="FF002060"/>
        </bottom>
        <vertical/>
        <horizontal/>
      </border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rgb="FF002060"/>
        </top>
        <bottom style="dotted">
          <color rgb="FF00206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  <strike val="0"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  <dxf>
      <font>
        <b/>
        <i/>
        <color rgb="FF002060"/>
      </font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  <border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  <colors>
    <mruColors>
      <color rgb="FFCCFFCC"/>
      <color rgb="FF99FFCC"/>
      <color rgb="FFFFFFCC"/>
      <color rgb="FF008000"/>
      <color rgb="FFCCFF33"/>
      <color rgb="FFFF3300"/>
      <color rgb="FF99FF66"/>
      <color rgb="FF66FF33"/>
      <color rgb="FFCCFF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1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Relationship Id="rId5" Type="http://schemas.openxmlformats.org/officeDocument/2006/relationships/image" Target="../media/image11.emf"/><Relationship Id="rId4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3</xdr:row>
      <xdr:rowOff>57149</xdr:rowOff>
    </xdr:from>
    <xdr:ext cx="10791825" cy="504825"/>
    <xdr:sp macro="" textlink="">
      <xdr:nvSpPr>
        <xdr:cNvPr id="4" name="Лента лицом вниз 3"/>
        <xdr:cNvSpPr/>
      </xdr:nvSpPr>
      <xdr:spPr>
        <a:xfrm>
          <a:off x="647700" y="342899"/>
          <a:ext cx="10791825" cy="504825"/>
        </a:xfrm>
        <a:prstGeom prst="ribbon">
          <a:avLst/>
        </a:prstGeom>
        <a:gradFill>
          <a:gsLst>
            <a:gs pos="0">
              <a:srgbClr val="00FFFF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0800000" scaled="1"/>
        </a:gradFill>
        <a:ln>
          <a:solidFill>
            <a:srgbClr val="0070C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woPt" dir="t"/>
        </a:scene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 anchorCtr="0">
          <a:noAutofit/>
        </a:bodyPr>
        <a:lstStyle/>
        <a:p>
          <a:pPr algn="ctr"/>
          <a:r>
            <a:rPr lang="ru-RU" sz="1400" b="0">
              <a:solidFill>
                <a:schemeClr val="accent1">
                  <a:lumMod val="50000"/>
                </a:schemeClr>
              </a:solidFill>
              <a:latin typeface="+mj-lt"/>
            </a:rPr>
            <a:t>Военная</a:t>
          </a:r>
          <a:r>
            <a:rPr lang="ru-RU" sz="1400" b="0" baseline="0">
              <a:solidFill>
                <a:schemeClr val="accent1">
                  <a:lumMod val="50000"/>
                </a:schemeClr>
              </a:solidFill>
              <a:latin typeface="+mj-lt"/>
            </a:rPr>
            <a:t>  пенсия         </a:t>
          </a:r>
          <a:r>
            <a:rPr lang="en-US" sz="1400" b="0" baseline="0">
              <a:solidFill>
                <a:schemeClr val="accent1">
                  <a:lumMod val="50000"/>
                </a:schemeClr>
              </a:solidFill>
              <a:latin typeface="+mj-lt"/>
            </a:rPr>
            <a:t>              </a:t>
          </a:r>
          <a:r>
            <a:rPr lang="ru-RU" sz="1400" b="0" baseline="0">
              <a:solidFill>
                <a:schemeClr val="accent1">
                  <a:lumMod val="50000"/>
                </a:schemeClr>
              </a:solidFill>
              <a:latin typeface="+mj-lt"/>
            </a:rPr>
            <a:t>                                               </a:t>
          </a:r>
          <a:r>
            <a:rPr lang="en-US" sz="1400" b="0" baseline="0">
              <a:solidFill>
                <a:schemeClr val="accent1">
                  <a:lumMod val="50000"/>
                </a:schemeClr>
              </a:solidFill>
              <a:latin typeface="+mj-lt"/>
            </a:rPr>
            <a:t>    </a:t>
          </a:r>
          <a:r>
            <a:rPr lang="ru-RU" sz="1400" b="0" baseline="0">
              <a:solidFill>
                <a:schemeClr val="accent1">
                  <a:lumMod val="50000"/>
                </a:schemeClr>
              </a:solidFill>
              <a:latin typeface="+mj-lt"/>
            </a:rPr>
            <a:t>                  </a:t>
          </a:r>
          <a:r>
            <a:rPr lang="ru-RU" sz="800" b="0" baseline="0">
              <a:solidFill>
                <a:schemeClr val="accent1">
                  <a:lumMod val="50000"/>
                </a:schemeClr>
              </a:solidFill>
              <a:latin typeface="+mj-lt"/>
            </a:rPr>
            <a:t>Версия К </a:t>
          </a:r>
          <a:r>
            <a:rPr lang="en-US" sz="800" b="0" baseline="0">
              <a:solidFill>
                <a:schemeClr val="accent1">
                  <a:lumMod val="50000"/>
                </a:schemeClr>
              </a:solidFill>
              <a:latin typeface="+mj-lt"/>
            </a:rPr>
            <a:t>1</a:t>
          </a:r>
          <a:r>
            <a:rPr lang="ru-RU" sz="800" b="0" baseline="0">
              <a:solidFill>
                <a:schemeClr val="accent1">
                  <a:lumMod val="50000"/>
                </a:schemeClr>
              </a:solidFill>
              <a:latin typeface="+mj-lt"/>
            </a:rPr>
            <a:t>.0</a:t>
          </a:r>
          <a:endParaRPr lang="ru-RU" sz="800" b="0">
            <a:solidFill>
              <a:schemeClr val="accent1">
                <a:lumMod val="50000"/>
              </a:schemeClr>
            </a:solidFill>
            <a:latin typeface="+mj-lt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31</xdr:row>
          <xdr:rowOff>76200</xdr:rowOff>
        </xdr:from>
        <xdr:to>
          <xdr:col>8</xdr:col>
          <xdr:colOff>238125</xdr:colOff>
          <xdr:row>33</xdr:row>
          <xdr:rowOff>38100</xdr:rowOff>
        </xdr:to>
        <xdr:sp macro="" textlink="">
          <xdr:nvSpPr>
            <xdr:cNvPr id="8216" name="CommandButton1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20</xdr:row>
          <xdr:rowOff>47625</xdr:rowOff>
        </xdr:from>
        <xdr:to>
          <xdr:col>4</xdr:col>
          <xdr:colOff>666750</xdr:colOff>
          <xdr:row>21</xdr:row>
          <xdr:rowOff>171450</xdr:rowOff>
        </xdr:to>
        <xdr:sp macro="" textlink="">
          <xdr:nvSpPr>
            <xdr:cNvPr id="8222" name="CommandButton4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561975</xdr:colOff>
      <xdr:row>8</xdr:row>
      <xdr:rowOff>85725</xdr:rowOff>
    </xdr:from>
    <xdr:ext cx="4933950" cy="276225"/>
    <xdr:sp macro="" textlink="">
      <xdr:nvSpPr>
        <xdr:cNvPr id="9" name="TextBox 8"/>
        <xdr:cNvSpPr txBox="1"/>
      </xdr:nvSpPr>
      <xdr:spPr>
        <a:xfrm>
          <a:off x="3609975" y="1181100"/>
          <a:ext cx="4933950" cy="276225"/>
        </a:xfrm>
        <a:prstGeom prst="rect">
          <a:avLst/>
        </a:prstGeom>
        <a:solidFill>
          <a:srgbClr val="99FFCC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contourW="12700">
          <a:contourClr>
            <a:srgbClr val="00B050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ru-RU" sz="1100" b="1" i="1" u="none" spc="100">
              <a:solidFill>
                <a:schemeClr val="tx1"/>
              </a:solidFill>
              <a:latin typeface="+mj-lt"/>
              <a:cs typeface="Calibri" pitchFamily="34" charset="0"/>
            </a:rPr>
            <a:t>Исходные </a:t>
          </a:r>
          <a:r>
            <a:rPr lang="ru-RU" sz="1100" b="1" i="1" u="none" spc="100" baseline="0">
              <a:solidFill>
                <a:schemeClr val="tx1"/>
              </a:solidFill>
              <a:latin typeface="+mj-lt"/>
              <a:cs typeface="Calibri" pitchFamily="34" charset="0"/>
            </a:rPr>
            <a:t>данные</a:t>
          </a:r>
          <a:r>
            <a:rPr lang="ru-RU" sz="1100" b="1" i="1" u="none" spc="100">
              <a:solidFill>
                <a:schemeClr val="tx1"/>
              </a:solidFill>
              <a:latin typeface="+mj-lt"/>
              <a:cs typeface="Calibri" pitchFamily="34" charset="0"/>
            </a:rPr>
            <a:t> для </a:t>
          </a:r>
          <a:r>
            <a:rPr lang="ru-RU" sz="1100" b="1" i="1" u="none" spc="100" baseline="0">
              <a:solidFill>
                <a:schemeClr val="tx1"/>
              </a:solidFill>
              <a:latin typeface="+mj-lt"/>
              <a:cs typeface="Calibri" pitchFamily="34" charset="0"/>
            </a:rPr>
            <a:t>расчета</a:t>
          </a:r>
          <a:r>
            <a:rPr lang="ru-RU" sz="1100" b="1" i="1" u="none" spc="100">
              <a:solidFill>
                <a:schemeClr val="tx1"/>
              </a:solidFill>
              <a:latin typeface="+mj-lt"/>
              <a:cs typeface="Calibri" pitchFamily="34" charset="0"/>
            </a:rPr>
            <a:t> </a:t>
          </a:r>
          <a:r>
            <a:rPr lang="ru-RU" sz="1100" b="1" i="1" u="none" spc="100" baseline="0">
              <a:solidFill>
                <a:schemeClr val="tx1"/>
              </a:solidFill>
              <a:latin typeface="+mj-lt"/>
              <a:cs typeface="Calibri" pitchFamily="34" charset="0"/>
            </a:rPr>
            <a:t>военной</a:t>
          </a:r>
          <a:r>
            <a:rPr lang="ru-RU" sz="1100" b="1" i="1" u="none" spc="100">
              <a:solidFill>
                <a:schemeClr val="tx1"/>
              </a:solidFill>
              <a:latin typeface="+mj-lt"/>
              <a:cs typeface="Calibri" pitchFamily="34" charset="0"/>
            </a:rPr>
            <a:t> пенсии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20</xdr:row>
          <xdr:rowOff>28575</xdr:rowOff>
        </xdr:from>
        <xdr:to>
          <xdr:col>14</xdr:col>
          <xdr:colOff>200025</xdr:colOff>
          <xdr:row>21</xdr:row>
          <xdr:rowOff>152400</xdr:rowOff>
        </xdr:to>
        <xdr:sp macro="" textlink="">
          <xdr:nvSpPr>
            <xdr:cNvPr id="8226" name="CommandButton6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20</xdr:row>
          <xdr:rowOff>38100</xdr:rowOff>
        </xdr:from>
        <xdr:to>
          <xdr:col>8</xdr:col>
          <xdr:colOff>209550</xdr:colOff>
          <xdr:row>21</xdr:row>
          <xdr:rowOff>161925</xdr:rowOff>
        </xdr:to>
        <xdr:sp macro="" textlink="">
          <xdr:nvSpPr>
            <xdr:cNvPr id="8227" name="CommandButton7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800100</xdr:colOff>
          <xdr:row>20</xdr:row>
          <xdr:rowOff>28575</xdr:rowOff>
        </xdr:from>
        <xdr:to>
          <xdr:col>11</xdr:col>
          <xdr:colOff>28575</xdr:colOff>
          <xdr:row>21</xdr:row>
          <xdr:rowOff>152400</xdr:rowOff>
        </xdr:to>
        <xdr:sp macro="" textlink="">
          <xdr:nvSpPr>
            <xdr:cNvPr id="8228" name="CommandButton8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762000</xdr:colOff>
          <xdr:row>31</xdr:row>
          <xdr:rowOff>47625</xdr:rowOff>
        </xdr:from>
        <xdr:to>
          <xdr:col>11</xdr:col>
          <xdr:colOff>266700</xdr:colOff>
          <xdr:row>33</xdr:row>
          <xdr:rowOff>9525</xdr:rowOff>
        </xdr:to>
        <xdr:sp macro="" textlink="">
          <xdr:nvSpPr>
            <xdr:cNvPr id="8229" name="CommandButton2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268941</xdr:colOff>
      <xdr:row>1</xdr:row>
      <xdr:rowOff>78442</xdr:rowOff>
    </xdr:from>
    <xdr:to>
      <xdr:col>18</xdr:col>
      <xdr:colOff>123264</xdr:colOff>
      <xdr:row>3</xdr:row>
      <xdr:rowOff>156883</xdr:rowOff>
    </xdr:to>
    <xdr:sp macro="" textlink="">
      <xdr:nvSpPr>
        <xdr:cNvPr id="2" name="Лента лицом вниз 1"/>
        <xdr:cNvSpPr/>
      </xdr:nvSpPr>
      <xdr:spPr>
        <a:xfrm>
          <a:off x="515470" y="201707"/>
          <a:ext cx="13996147" cy="515470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5">
                <a:lumMod val="40000"/>
                <a:lumOff val="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1">
              <a:shade val="50000"/>
            </a:schemeClr>
          </a:solidFill>
        </a:ln>
        <a:effectLst>
          <a:outerShdw blurRad="50800" dist="50800" dir="5400000" algn="ctr" rotWithShape="0">
            <a:schemeClr val="bg1">
              <a:lumMod val="75000"/>
            </a:scheme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400" b="0">
              <a:solidFill>
                <a:schemeClr val="tx1"/>
              </a:solidFill>
              <a:latin typeface="+mj-lt"/>
            </a:rPr>
            <a:t>Расчет</a:t>
          </a:r>
          <a:r>
            <a:rPr lang="ru-RU" sz="1400" b="0" baseline="0">
              <a:solidFill>
                <a:schemeClr val="tx1"/>
              </a:solidFill>
              <a:latin typeface="+mj-lt"/>
            </a:rPr>
            <a:t>  военной пенсии, назначенной ранее 1 января 2012 г.</a:t>
          </a:r>
          <a:endParaRPr lang="ru-RU" sz="1400" b="0">
            <a:solidFill>
              <a:schemeClr val="tx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6</xdr:row>
          <xdr:rowOff>38100</xdr:rowOff>
        </xdr:from>
        <xdr:to>
          <xdr:col>16</xdr:col>
          <xdr:colOff>904875</xdr:colOff>
          <xdr:row>7</xdr:row>
          <xdr:rowOff>219075</xdr:rowOff>
        </xdr:to>
        <xdr:sp macro="" textlink="">
          <xdr:nvSpPr>
            <xdr:cNvPr id="13318" name="CommandButton2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358589</xdr:colOff>
      <xdr:row>1</xdr:row>
      <xdr:rowOff>78442</xdr:rowOff>
    </xdr:from>
    <xdr:to>
      <xdr:col>17</xdr:col>
      <xdr:colOff>694765</xdr:colOff>
      <xdr:row>3</xdr:row>
      <xdr:rowOff>156883</xdr:rowOff>
    </xdr:to>
    <xdr:sp macro="" textlink="">
      <xdr:nvSpPr>
        <xdr:cNvPr id="2" name="Лента лицом вниз 1"/>
        <xdr:cNvSpPr/>
      </xdr:nvSpPr>
      <xdr:spPr>
        <a:xfrm>
          <a:off x="672354" y="291354"/>
          <a:ext cx="13738411" cy="515470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5">
                <a:lumMod val="40000"/>
                <a:lumOff val="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1">
              <a:shade val="50000"/>
            </a:schemeClr>
          </a:solidFill>
        </a:ln>
        <a:effectLst>
          <a:outerShdw blurRad="50800" dist="50800" dir="5400000" algn="ctr" rotWithShape="0">
            <a:schemeClr val="bg1">
              <a:lumMod val="75000"/>
            </a:scheme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400" b="0">
              <a:solidFill>
                <a:schemeClr val="tx1"/>
              </a:solidFill>
              <a:latin typeface="+mj-lt"/>
            </a:rPr>
            <a:t>Расчет</a:t>
          </a:r>
          <a:r>
            <a:rPr lang="ru-RU" sz="1400" b="0" baseline="0">
              <a:solidFill>
                <a:schemeClr val="tx1"/>
              </a:solidFill>
              <a:latin typeface="+mj-lt"/>
            </a:rPr>
            <a:t>  военной пенсии, назначенной позднее 1 января 2012 г.</a:t>
          </a:r>
          <a:endParaRPr lang="ru-RU" sz="1400" b="0">
            <a:solidFill>
              <a:schemeClr val="tx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371475</xdr:colOff>
          <xdr:row>6</xdr:row>
          <xdr:rowOff>0</xdr:rowOff>
        </xdr:from>
        <xdr:to>
          <xdr:col>17</xdr:col>
          <xdr:colOff>133350</xdr:colOff>
          <xdr:row>8</xdr:row>
          <xdr:rowOff>28575</xdr:rowOff>
        </xdr:to>
        <xdr:sp macro="" textlink="">
          <xdr:nvSpPr>
            <xdr:cNvPr id="20486" name="CommandButton2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224118</xdr:colOff>
      <xdr:row>1</xdr:row>
      <xdr:rowOff>168089</xdr:rowOff>
    </xdr:from>
    <xdr:to>
      <xdr:col>19</xdr:col>
      <xdr:colOff>201706</xdr:colOff>
      <xdr:row>4</xdr:row>
      <xdr:rowOff>56030</xdr:rowOff>
    </xdr:to>
    <xdr:sp macro="" textlink="">
      <xdr:nvSpPr>
        <xdr:cNvPr id="2" name="Лента лицом вниз 1"/>
        <xdr:cNvSpPr/>
      </xdr:nvSpPr>
      <xdr:spPr>
        <a:xfrm>
          <a:off x="504265" y="291354"/>
          <a:ext cx="14153029" cy="515470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5">
                <a:lumMod val="40000"/>
                <a:lumOff val="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1">
              <a:shade val="50000"/>
            </a:schemeClr>
          </a:solidFill>
        </a:ln>
        <a:effectLst>
          <a:outerShdw blurRad="50800" dist="50800" dir="5400000" algn="ctr" rotWithShape="0">
            <a:schemeClr val="bg1">
              <a:lumMod val="75000"/>
            </a:scheme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400" b="0">
              <a:solidFill>
                <a:schemeClr val="tx1"/>
              </a:solidFill>
              <a:latin typeface="+mj-lt"/>
            </a:rPr>
            <a:t>Расчет</a:t>
          </a:r>
          <a:r>
            <a:rPr lang="ru-RU" sz="1400" b="0" baseline="0">
              <a:solidFill>
                <a:schemeClr val="tx1"/>
              </a:solidFill>
              <a:latin typeface="+mj-lt"/>
            </a:rPr>
            <a:t>  прогнозной военной пенсии</a:t>
          </a:r>
          <a:endParaRPr lang="ru-RU" sz="1400" b="0">
            <a:solidFill>
              <a:schemeClr val="tx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6</xdr:row>
          <xdr:rowOff>247650</xdr:rowOff>
        </xdr:from>
        <xdr:to>
          <xdr:col>17</xdr:col>
          <xdr:colOff>123825</xdr:colOff>
          <xdr:row>9</xdr:row>
          <xdr:rowOff>19050</xdr:rowOff>
        </xdr:to>
        <xdr:sp macro="" textlink="">
          <xdr:nvSpPr>
            <xdr:cNvPr id="22540" name="CommandButton3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201706</xdr:colOff>
      <xdr:row>1</xdr:row>
      <xdr:rowOff>168089</xdr:rowOff>
    </xdr:from>
    <xdr:to>
      <xdr:col>17</xdr:col>
      <xdr:colOff>0</xdr:colOff>
      <xdr:row>4</xdr:row>
      <xdr:rowOff>56030</xdr:rowOff>
    </xdr:to>
    <xdr:sp macro="" textlink="">
      <xdr:nvSpPr>
        <xdr:cNvPr id="2" name="Лента лицом вниз 1"/>
        <xdr:cNvSpPr/>
      </xdr:nvSpPr>
      <xdr:spPr>
        <a:xfrm>
          <a:off x="537882" y="291354"/>
          <a:ext cx="12640236" cy="515470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5">
                <a:lumMod val="40000"/>
                <a:lumOff val="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1">
              <a:shade val="50000"/>
            </a:schemeClr>
          </a:solidFill>
        </a:ln>
        <a:effectLst>
          <a:outerShdw blurRad="50800" dist="50800" dir="5400000" algn="ctr" rotWithShape="0">
            <a:schemeClr val="bg1">
              <a:lumMod val="75000"/>
            </a:scheme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400" b="0">
              <a:solidFill>
                <a:schemeClr val="tx1"/>
              </a:solidFill>
              <a:latin typeface="+mj-lt"/>
            </a:rPr>
            <a:t>Расчет</a:t>
          </a:r>
          <a:r>
            <a:rPr lang="ru-RU" sz="1400" b="0" baseline="0">
              <a:solidFill>
                <a:schemeClr val="tx1"/>
              </a:solidFill>
              <a:latin typeface="+mj-lt"/>
            </a:rPr>
            <a:t>  прогнозной военной пенсии</a:t>
          </a:r>
          <a:endParaRPr lang="ru-RU" sz="1400" b="0">
            <a:solidFill>
              <a:schemeClr val="tx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352425</xdr:colOff>
          <xdr:row>6</xdr:row>
          <xdr:rowOff>228600</xdr:rowOff>
        </xdr:from>
        <xdr:to>
          <xdr:col>16</xdr:col>
          <xdr:colOff>981075</xdr:colOff>
          <xdr:row>9</xdr:row>
          <xdr:rowOff>0</xdr:rowOff>
        </xdr:to>
        <xdr:sp macro="" textlink="">
          <xdr:nvSpPr>
            <xdr:cNvPr id="24579" name="CommandButton1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0</xdr:rowOff>
    </xdr:from>
    <xdr:to>
      <xdr:col>17</xdr:col>
      <xdr:colOff>285751</xdr:colOff>
      <xdr:row>4</xdr:row>
      <xdr:rowOff>38100</xdr:rowOff>
    </xdr:to>
    <xdr:sp macro="" textlink="">
      <xdr:nvSpPr>
        <xdr:cNvPr id="11" name="Лента лицом вниз 10"/>
        <xdr:cNvSpPr/>
      </xdr:nvSpPr>
      <xdr:spPr>
        <a:xfrm>
          <a:off x="666750" y="428625"/>
          <a:ext cx="11306176" cy="361950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200" b="0">
              <a:solidFill>
                <a:sysClr val="windowText" lastClr="000000"/>
              </a:solidFill>
            </a:rPr>
            <a:t>Периоды изменения военной пенсии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5</xdr:row>
          <xdr:rowOff>57150</xdr:rowOff>
        </xdr:from>
        <xdr:to>
          <xdr:col>10</xdr:col>
          <xdr:colOff>85725</xdr:colOff>
          <xdr:row>6</xdr:row>
          <xdr:rowOff>161925</xdr:rowOff>
        </xdr:to>
        <xdr:sp macro="" textlink="">
          <xdr:nvSpPr>
            <xdr:cNvPr id="3087" name="CommandButton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76200</xdr:rowOff>
        </xdr:from>
        <xdr:to>
          <xdr:col>15</xdr:col>
          <xdr:colOff>685800</xdr:colOff>
          <xdr:row>33</xdr:row>
          <xdr:rowOff>47625</xdr:rowOff>
        </xdr:to>
        <xdr:sp macro="" textlink="">
          <xdr:nvSpPr>
            <xdr:cNvPr id="3091" name="Group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30</xdr:row>
          <xdr:rowOff>38100</xdr:rowOff>
        </xdr:from>
        <xdr:to>
          <xdr:col>5</xdr:col>
          <xdr:colOff>466725</xdr:colOff>
          <xdr:row>31</xdr:row>
          <xdr:rowOff>152400</xdr:rowOff>
        </xdr:to>
        <xdr:sp macro="" textlink="">
          <xdr:nvSpPr>
            <xdr:cNvPr id="3092" name="CommandButton6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30</xdr:row>
          <xdr:rowOff>38100</xdr:rowOff>
        </xdr:from>
        <xdr:to>
          <xdr:col>6</xdr:col>
          <xdr:colOff>133350</xdr:colOff>
          <xdr:row>31</xdr:row>
          <xdr:rowOff>104775</xdr:rowOff>
        </xdr:to>
        <xdr:sp macro="" textlink="">
          <xdr:nvSpPr>
            <xdr:cNvPr id="3098" name="ComboBox1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9525</xdr:rowOff>
        </xdr:from>
        <xdr:to>
          <xdr:col>10</xdr:col>
          <xdr:colOff>342900</xdr:colOff>
          <xdr:row>31</xdr:row>
          <xdr:rowOff>123825</xdr:rowOff>
        </xdr:to>
        <xdr:sp macro="" textlink="">
          <xdr:nvSpPr>
            <xdr:cNvPr id="3101" name="CommandButton7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30</xdr:row>
          <xdr:rowOff>0</xdr:rowOff>
        </xdr:from>
        <xdr:to>
          <xdr:col>15</xdr:col>
          <xdr:colOff>180975</xdr:colOff>
          <xdr:row>31</xdr:row>
          <xdr:rowOff>114300</xdr:rowOff>
        </xdr:to>
        <xdr:sp macro="" textlink="">
          <xdr:nvSpPr>
            <xdr:cNvPr id="3103" name="CommandButton8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</xdr:row>
      <xdr:rowOff>123826</xdr:rowOff>
    </xdr:from>
    <xdr:to>
      <xdr:col>16</xdr:col>
      <xdr:colOff>85725</xdr:colOff>
      <xdr:row>3</xdr:row>
      <xdr:rowOff>123825</xdr:rowOff>
    </xdr:to>
    <xdr:sp macro="" textlink="">
      <xdr:nvSpPr>
        <xdr:cNvPr id="2" name="Лента лицом вниз 1"/>
        <xdr:cNvSpPr/>
      </xdr:nvSpPr>
      <xdr:spPr>
        <a:xfrm>
          <a:off x="114300" y="314326"/>
          <a:ext cx="12477750" cy="380999"/>
        </a:xfrm>
        <a:prstGeom prst="ribbon">
          <a:avLst>
            <a:gd name="adj1" fmla="val 33333"/>
            <a:gd name="adj2" fmla="val 50000"/>
          </a:avLst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200" b="0">
              <a:solidFill>
                <a:sysClr val="windowText" lastClr="000000"/>
              </a:solidFill>
              <a:latin typeface="+mj-lt"/>
            </a:rPr>
            <a:t>Справочник по тарифным разрядам</a:t>
          </a:r>
          <a:r>
            <a:rPr lang="ru-RU" sz="1200" b="0" baseline="0">
              <a:solidFill>
                <a:sysClr val="windowText" lastClr="000000"/>
              </a:solidFill>
              <a:latin typeface="+mj-lt"/>
            </a:rPr>
            <a:t> (ОВД) и ОВЗ</a:t>
          </a:r>
          <a:endParaRPr lang="ru-RU" sz="1200" b="0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4</xdr:row>
          <xdr:rowOff>9525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9089" name="CommandButton1" hidden="1">
              <a:extLst>
                <a:ext uri="{63B3BB69-23CF-44E3-9099-C40C66FF867C}">
                  <a14:compatExt spid="_x0000_s8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809625</xdr:colOff>
          <xdr:row>2</xdr:row>
          <xdr:rowOff>133350</xdr:rowOff>
        </xdr:from>
        <xdr:to>
          <xdr:col>21</xdr:col>
          <xdr:colOff>28575</xdr:colOff>
          <xdr:row>3</xdr:row>
          <xdr:rowOff>114300</xdr:rowOff>
        </xdr:to>
        <xdr:sp macro="" textlink="">
          <xdr:nvSpPr>
            <xdr:cNvPr id="44035" name="CommandButton2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13" Type="http://schemas.openxmlformats.org/officeDocument/2006/relationships/image" Target="../media/image15.emf"/><Relationship Id="rId3" Type="http://schemas.openxmlformats.org/officeDocument/2006/relationships/vmlDrawing" Target="../drawings/vmlDrawing6.vml"/><Relationship Id="rId7" Type="http://schemas.openxmlformats.org/officeDocument/2006/relationships/image" Target="../media/image12.emf"/><Relationship Id="rId12" Type="http://schemas.openxmlformats.org/officeDocument/2006/relationships/control" Target="../activeX/activeX1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14.xml"/><Relationship Id="rId4" Type="http://schemas.openxmlformats.org/officeDocument/2006/relationships/control" Target="../activeX/activeX11.xml"/><Relationship Id="rId9" Type="http://schemas.openxmlformats.org/officeDocument/2006/relationships/image" Target="../media/image13.emf"/><Relationship Id="rId1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6.emf"/><Relationship Id="rId4" Type="http://schemas.openxmlformats.org/officeDocument/2006/relationships/control" Target="../activeX/activeX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O100"/>
  <sheetViews>
    <sheetView showGridLines="0" showRowColHeaders="0" topLeftCell="A7" zoomScaleNormal="100" workbookViewId="0"/>
  </sheetViews>
  <sheetFormatPr defaultRowHeight="15" x14ac:dyDescent="0.25"/>
  <cols>
    <col min="1" max="1" width="5.85546875" style="60" customWidth="1"/>
    <col min="2" max="3" width="10.7109375" customWidth="1"/>
    <col min="4" max="4" width="7.7109375" customWidth="1"/>
    <col min="5" max="5" width="10.7109375" customWidth="1"/>
    <col min="6" max="6" width="20" customWidth="1"/>
    <col min="7" max="7" width="6" customWidth="1"/>
    <col min="8" max="8" width="10.7109375" customWidth="1"/>
    <col min="9" max="9" width="16.7109375" customWidth="1"/>
    <col min="10" max="10" width="19.140625" customWidth="1"/>
    <col min="11" max="11" width="8.140625" customWidth="1"/>
    <col min="12" max="13" width="10.7109375" customWidth="1"/>
    <col min="14" max="14" width="17.140625" customWidth="1"/>
    <col min="15" max="15" width="10.7109375" customWidth="1"/>
    <col min="16" max="16" width="1" customWidth="1"/>
    <col min="17" max="17" width="13.5703125" style="798" hidden="1" customWidth="1"/>
    <col min="18" max="18" width="9.140625" style="798" hidden="1" customWidth="1"/>
    <col min="19" max="19" width="10.5703125" style="798" hidden="1" customWidth="1"/>
    <col min="20" max="20" width="10.140625" style="798" hidden="1" customWidth="1"/>
    <col min="21" max="21" width="9.140625" style="798" hidden="1" customWidth="1"/>
    <col min="22" max="40" width="9.140625" style="737" customWidth="1"/>
    <col min="41" max="41" width="9.140625" style="60" customWidth="1"/>
    <col min="42" max="49" width="9.140625" customWidth="1"/>
  </cols>
  <sheetData>
    <row r="1" spans="1:41" s="61" customFormat="1" ht="6" customHeight="1" x14ac:dyDescent="0.25">
      <c r="A1" s="822"/>
      <c r="Q1" s="1283"/>
      <c r="R1" s="1283"/>
      <c r="S1" s="1284"/>
      <c r="T1" s="1285"/>
      <c r="U1" s="797"/>
      <c r="V1" s="737"/>
      <c r="W1" s="737"/>
      <c r="X1" s="737"/>
      <c r="Y1" s="737"/>
      <c r="Z1" s="737"/>
      <c r="AA1" s="737"/>
      <c r="AB1" s="737"/>
      <c r="AC1" s="737"/>
      <c r="AD1" s="737"/>
      <c r="AE1" s="737"/>
      <c r="AF1" s="737"/>
      <c r="AG1" s="737"/>
      <c r="AH1" s="737"/>
      <c r="AI1" s="737"/>
      <c r="AJ1" s="737"/>
      <c r="AK1" s="737"/>
      <c r="AL1" s="737"/>
      <c r="AM1" s="737"/>
      <c r="AN1" s="737"/>
      <c r="AO1" s="60"/>
    </row>
    <row r="2" spans="1:41" s="61" customFormat="1" ht="9" customHeight="1" x14ac:dyDescent="0.25">
      <c r="A2" s="1042"/>
      <c r="Q2" s="798"/>
      <c r="R2" s="798"/>
      <c r="S2" s="797">
        <v>15</v>
      </c>
      <c r="T2" s="1295">
        <v>22</v>
      </c>
      <c r="U2" s="797"/>
      <c r="V2" s="737"/>
      <c r="W2" s="737"/>
      <c r="X2" s="737"/>
      <c r="Y2" s="737"/>
      <c r="Z2" s="737"/>
      <c r="AA2" s="737"/>
      <c r="AB2" s="737"/>
      <c r="AC2" s="737"/>
      <c r="AD2" s="737"/>
      <c r="AE2" s="737"/>
      <c r="AF2" s="737"/>
      <c r="AG2" s="737"/>
      <c r="AH2" s="737"/>
      <c r="AI2" s="737"/>
      <c r="AJ2" s="737"/>
      <c r="AK2" s="737"/>
      <c r="AL2" s="737"/>
      <c r="AM2" s="737"/>
      <c r="AN2" s="737"/>
      <c r="AO2" s="60"/>
    </row>
    <row r="3" spans="1:41" s="63" customFormat="1" ht="10.5" customHeight="1" thickBot="1" x14ac:dyDescent="0.25">
      <c r="A3" s="1043"/>
      <c r="Q3" s="1329"/>
      <c r="R3" s="800"/>
      <c r="S3" s="799">
        <v>8</v>
      </c>
      <c r="T3" s="1296">
        <v>100</v>
      </c>
      <c r="U3" s="799"/>
      <c r="V3" s="1332"/>
      <c r="W3" s="1332"/>
      <c r="X3" s="1332"/>
      <c r="Y3" s="1332"/>
      <c r="Z3" s="1332"/>
      <c r="AA3" s="1332"/>
      <c r="AB3" s="1332"/>
      <c r="AC3" s="1332"/>
      <c r="AD3" s="1332"/>
      <c r="AE3" s="1332"/>
      <c r="AF3" s="1332"/>
      <c r="AG3" s="1332"/>
      <c r="AH3" s="1332"/>
      <c r="AI3" s="1332"/>
      <c r="AJ3" s="1332"/>
      <c r="AK3" s="1332"/>
      <c r="AL3" s="1332"/>
      <c r="AM3" s="1332"/>
      <c r="AN3" s="1332"/>
      <c r="AO3" s="789"/>
    </row>
    <row r="4" spans="1:41" s="63" customFormat="1" ht="12.75" x14ac:dyDescent="0.2">
      <c r="A4" s="789"/>
      <c r="B4" s="230"/>
      <c r="C4" s="231"/>
      <c r="D4" s="231"/>
      <c r="E4" s="231"/>
      <c r="F4" s="79"/>
      <c r="G4" s="79"/>
      <c r="H4" s="79"/>
      <c r="I4" s="79"/>
      <c r="J4" s="79"/>
      <c r="K4" s="79"/>
      <c r="L4" s="79"/>
      <c r="M4" s="79"/>
      <c r="N4" s="79"/>
      <c r="O4" s="80"/>
      <c r="Q4" s="800"/>
      <c r="R4" s="800"/>
      <c r="S4" s="799">
        <v>2008</v>
      </c>
      <c r="T4" s="1296">
        <v>100</v>
      </c>
      <c r="U4" s="799"/>
      <c r="V4" s="1332"/>
      <c r="W4" s="1332"/>
      <c r="X4" s="1332"/>
      <c r="Y4" s="1332"/>
      <c r="Z4" s="1332"/>
      <c r="AA4" s="1332"/>
      <c r="AB4" s="1332"/>
      <c r="AC4" s="1332"/>
      <c r="AD4" s="1332"/>
      <c r="AE4" s="1332"/>
      <c r="AF4" s="1332"/>
      <c r="AG4" s="1332"/>
      <c r="AH4" s="1332"/>
      <c r="AI4" s="1332"/>
      <c r="AJ4" s="1332"/>
      <c r="AK4" s="1332"/>
      <c r="AL4" s="1332"/>
      <c r="AM4" s="1332"/>
      <c r="AN4" s="1332"/>
      <c r="AO4" s="789"/>
    </row>
    <row r="5" spans="1:41" s="63" customFormat="1" ht="12.75" x14ac:dyDescent="0.2">
      <c r="A5" s="789"/>
      <c r="B5" s="81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82"/>
      <c r="P5" s="756"/>
      <c r="Q5" s="1330">
        <f>SUM(J12,J14,J16)</f>
        <v>39698</v>
      </c>
      <c r="R5" s="800"/>
      <c r="S5" s="1331">
        <f>DATE(S4,S3,S2)</f>
        <v>39675</v>
      </c>
      <c r="T5" s="1296">
        <v>30</v>
      </c>
      <c r="U5" s="799"/>
      <c r="V5" s="1332"/>
      <c r="W5" s="1332"/>
      <c r="X5" s="1332"/>
      <c r="Y5" s="1332"/>
      <c r="Z5" s="1332"/>
      <c r="AA5" s="1332"/>
      <c r="AB5" s="1332"/>
      <c r="AC5" s="1332"/>
      <c r="AD5" s="1332"/>
      <c r="AE5" s="1332"/>
      <c r="AF5" s="1332"/>
      <c r="AG5" s="1332"/>
      <c r="AH5" s="1332"/>
      <c r="AI5" s="1332"/>
      <c r="AJ5" s="1332"/>
      <c r="AK5" s="1332"/>
      <c r="AL5" s="1332"/>
      <c r="AM5" s="1332"/>
      <c r="AN5" s="1332"/>
      <c r="AO5" s="789"/>
    </row>
    <row r="6" spans="1:41" s="63" customFormat="1" ht="12.75" x14ac:dyDescent="0.2">
      <c r="A6" s="789"/>
      <c r="B6" s="81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82"/>
      <c r="P6" s="756"/>
      <c r="Q6" s="800"/>
      <c r="R6" s="800"/>
      <c r="S6" s="799"/>
      <c r="T6" s="1296">
        <v>40</v>
      </c>
      <c r="U6" s="799"/>
      <c r="V6" s="1332"/>
      <c r="W6" s="1332"/>
      <c r="X6" s="1332"/>
      <c r="Y6" s="1332"/>
      <c r="Z6" s="1332"/>
      <c r="AA6" s="1332"/>
      <c r="AB6" s="1332"/>
      <c r="AC6" s="1332"/>
      <c r="AD6" s="1332"/>
      <c r="AE6" s="1332"/>
      <c r="AF6" s="1332"/>
      <c r="AG6" s="1332"/>
      <c r="AH6" s="1332"/>
      <c r="AI6" s="1332"/>
      <c r="AJ6" s="1332"/>
      <c r="AK6" s="1332"/>
      <c r="AL6" s="1332"/>
      <c r="AM6" s="1332"/>
      <c r="AN6" s="1332"/>
      <c r="AO6" s="789"/>
    </row>
    <row r="7" spans="1:41" s="63" customFormat="1" ht="12.75" x14ac:dyDescent="0.2">
      <c r="A7" s="789"/>
      <c r="B7" s="81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82"/>
      <c r="P7" s="756"/>
      <c r="Q7" s="800"/>
      <c r="R7" s="800"/>
      <c r="S7" s="799"/>
      <c r="T7" s="799"/>
      <c r="U7" s="799"/>
      <c r="V7" s="1332"/>
      <c r="W7" s="1332"/>
      <c r="X7" s="1332"/>
      <c r="Y7" s="1332"/>
      <c r="Z7" s="1332"/>
      <c r="AA7" s="1332"/>
      <c r="AB7" s="1332"/>
      <c r="AC7" s="1332"/>
      <c r="AD7" s="1332"/>
      <c r="AE7" s="1332"/>
      <c r="AF7" s="1332"/>
      <c r="AG7" s="1332"/>
      <c r="AH7" s="1332"/>
      <c r="AI7" s="1332"/>
      <c r="AJ7" s="1332"/>
      <c r="AK7" s="1332"/>
      <c r="AL7" s="1332"/>
      <c r="AM7" s="1332"/>
      <c r="AN7" s="1332"/>
      <c r="AO7" s="789"/>
    </row>
    <row r="8" spans="1:41" s="63" customFormat="1" ht="12.75" x14ac:dyDescent="0.2">
      <c r="A8" s="789"/>
      <c r="B8" s="81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82"/>
      <c r="P8" s="756"/>
      <c r="Q8" s="800"/>
      <c r="S8" s="800"/>
      <c r="T8" s="799"/>
      <c r="U8" s="799"/>
      <c r="V8" s="1332"/>
      <c r="W8" s="1332"/>
      <c r="X8" s="1332"/>
      <c r="Y8" s="1332"/>
      <c r="Z8" s="1332"/>
      <c r="AA8" s="1332"/>
      <c r="AB8" s="1332"/>
      <c r="AC8" s="1332"/>
      <c r="AD8" s="1332"/>
      <c r="AE8" s="1332"/>
      <c r="AF8" s="1332"/>
      <c r="AG8" s="1332"/>
      <c r="AH8" s="1332"/>
      <c r="AI8" s="1332"/>
      <c r="AJ8" s="1332"/>
      <c r="AK8" s="1332"/>
      <c r="AL8" s="1332"/>
      <c r="AM8" s="1332"/>
      <c r="AN8" s="1332"/>
      <c r="AO8" s="789"/>
    </row>
    <row r="9" spans="1:41" s="63" customFormat="1" ht="12" customHeight="1" x14ac:dyDescent="0.2">
      <c r="A9" s="789"/>
      <c r="B9" s="81"/>
      <c r="C9" s="76"/>
      <c r="D9" s="76"/>
      <c r="E9" s="76"/>
      <c r="F9" s="76"/>
      <c r="G9" s="76"/>
      <c r="H9" s="76"/>
      <c r="I9" s="447"/>
      <c r="J9" s="76"/>
      <c r="K9" s="76"/>
      <c r="L9" s="76"/>
      <c r="M9" s="76"/>
      <c r="N9" s="76"/>
      <c r="O9" s="82"/>
      <c r="P9" s="756"/>
      <c r="Q9" s="800"/>
      <c r="R9" s="1330"/>
      <c r="S9" s="799"/>
      <c r="T9" s="799"/>
      <c r="U9" s="799"/>
      <c r="V9" s="1332"/>
      <c r="W9" s="1332"/>
      <c r="X9" s="1332"/>
      <c r="Y9" s="1332"/>
      <c r="Z9" s="1332"/>
      <c r="AA9" s="1332"/>
      <c r="AB9" s="1332"/>
      <c r="AC9" s="1332"/>
      <c r="AD9" s="1332"/>
      <c r="AE9" s="1332"/>
      <c r="AF9" s="1332"/>
      <c r="AG9" s="1332"/>
      <c r="AH9" s="1332"/>
      <c r="AI9" s="1332"/>
      <c r="AJ9" s="1332"/>
      <c r="AK9" s="1332"/>
      <c r="AL9" s="1332"/>
      <c r="AM9" s="1332"/>
      <c r="AN9" s="1332"/>
      <c r="AO9" s="789"/>
    </row>
    <row r="10" spans="1:41" s="63" customFormat="1" ht="12.75" x14ac:dyDescent="0.2">
      <c r="A10" s="789"/>
      <c r="B10" s="81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82"/>
      <c r="P10" s="756"/>
      <c r="Q10" s="800"/>
      <c r="R10" s="1281"/>
      <c r="S10" s="799"/>
      <c r="T10" s="799"/>
      <c r="U10" s="799"/>
      <c r="V10" s="1332"/>
      <c r="W10" s="1332"/>
      <c r="X10" s="1332"/>
      <c r="Y10" s="1332"/>
      <c r="Z10" s="1332"/>
      <c r="AA10" s="1332"/>
      <c r="AB10" s="1332"/>
      <c r="AC10" s="1332"/>
      <c r="AD10" s="1332"/>
      <c r="AE10" s="1332"/>
      <c r="AF10" s="1332"/>
      <c r="AG10" s="1332"/>
      <c r="AH10" s="1332"/>
      <c r="AI10" s="1332"/>
      <c r="AJ10" s="1332"/>
      <c r="AK10" s="1332"/>
      <c r="AL10" s="1332"/>
      <c r="AM10" s="1332"/>
      <c r="AN10" s="1332"/>
      <c r="AO10" s="789"/>
    </row>
    <row r="11" spans="1:41" s="63" customFormat="1" ht="25.5" customHeight="1" thickBot="1" x14ac:dyDescent="0.25">
      <c r="A11" s="789"/>
      <c r="B11" s="81"/>
      <c r="C11" s="76"/>
      <c r="D11" s="76"/>
      <c r="E11" s="726"/>
      <c r="F11" s="726"/>
      <c r="G11" s="76"/>
      <c r="H11" s="76"/>
      <c r="I11" s="76"/>
      <c r="J11" s="76"/>
      <c r="K11" s="76"/>
      <c r="L11" s="76"/>
      <c r="M11" s="76"/>
      <c r="N11" s="76"/>
      <c r="O11" s="82"/>
      <c r="P11" s="756"/>
      <c r="Q11" s="800"/>
      <c r="R11" s="1281"/>
      <c r="S11" s="799"/>
      <c r="T11" s="799"/>
      <c r="U11" s="799"/>
      <c r="V11" s="1332"/>
      <c r="W11" s="1332"/>
      <c r="X11" s="1332"/>
      <c r="Y11" s="1332"/>
      <c r="Z11" s="1332"/>
      <c r="AA11" s="1332"/>
      <c r="AB11" s="1332"/>
      <c r="AC11" s="1332"/>
      <c r="AD11" s="1332"/>
      <c r="AE11" s="1332"/>
      <c r="AF11" s="1332"/>
      <c r="AG11" s="1332"/>
      <c r="AH11" s="1332"/>
      <c r="AI11" s="1332"/>
      <c r="AJ11" s="1332"/>
      <c r="AK11" s="1332"/>
      <c r="AL11" s="1332"/>
      <c r="AM11" s="1332"/>
      <c r="AN11" s="1332"/>
      <c r="AO11" s="789"/>
    </row>
    <row r="12" spans="1:41" s="69" customFormat="1" ht="15.75" thickBot="1" x14ac:dyDescent="0.25">
      <c r="A12" s="790"/>
      <c r="B12" s="83"/>
      <c r="C12" s="77"/>
      <c r="D12" s="77"/>
      <c r="E12" s="77"/>
      <c r="F12" s="77"/>
      <c r="G12" s="77"/>
      <c r="H12" s="1334" t="s">
        <v>276</v>
      </c>
      <c r="I12" s="1335"/>
      <c r="J12" s="1046">
        <f>S5</f>
        <v>39675</v>
      </c>
      <c r="K12" s="77"/>
      <c r="L12" s="77"/>
      <c r="M12" s="77"/>
      <c r="N12" s="77"/>
      <c r="O12" s="84"/>
      <c r="P12" s="757"/>
      <c r="Q12" s="802"/>
      <c r="R12" s="1282"/>
      <c r="S12" s="801"/>
      <c r="T12" s="801"/>
      <c r="U12" s="801"/>
      <c r="V12" s="1333"/>
      <c r="W12" s="1333"/>
      <c r="X12" s="1333"/>
      <c r="Y12" s="1333"/>
      <c r="Z12" s="1333"/>
      <c r="AA12" s="1333"/>
      <c r="AB12" s="1333"/>
      <c r="AC12" s="1333"/>
      <c r="AD12" s="1333"/>
      <c r="AE12" s="1333"/>
      <c r="AF12" s="1333"/>
      <c r="AG12" s="1333"/>
      <c r="AH12" s="1333"/>
      <c r="AI12" s="1333"/>
      <c r="AJ12" s="1333"/>
      <c r="AK12" s="1333"/>
      <c r="AL12" s="1333"/>
      <c r="AM12" s="1333"/>
      <c r="AN12" s="1333"/>
      <c r="AO12" s="790"/>
    </row>
    <row r="13" spans="1:41" s="69" customFormat="1" ht="8.25" customHeight="1" thickBot="1" x14ac:dyDescent="0.25">
      <c r="A13" s="790"/>
      <c r="B13" s="83"/>
      <c r="C13" s="77"/>
      <c r="D13" s="77"/>
      <c r="E13" s="77"/>
      <c r="F13" s="77"/>
      <c r="G13" s="77"/>
      <c r="H13" s="1045"/>
      <c r="I13" s="1045"/>
      <c r="J13" s="1047"/>
      <c r="K13" s="77"/>
      <c r="L13" s="77"/>
      <c r="M13" s="77"/>
      <c r="N13" s="77"/>
      <c r="O13" s="84"/>
      <c r="P13" s="757"/>
      <c r="Q13" s="802"/>
      <c r="R13" s="1282"/>
      <c r="S13" s="801"/>
      <c r="T13" s="801"/>
      <c r="U13" s="801"/>
      <c r="V13" s="1333"/>
      <c r="W13" s="1333"/>
      <c r="X13" s="1333"/>
      <c r="Y13" s="1333"/>
      <c r="Z13" s="1333"/>
      <c r="AA13" s="1333"/>
      <c r="AB13" s="1333"/>
      <c r="AC13" s="1333"/>
      <c r="AD13" s="1333"/>
      <c r="AE13" s="1333"/>
      <c r="AF13" s="1333"/>
      <c r="AG13" s="1333"/>
      <c r="AH13" s="1333"/>
      <c r="AI13" s="1333"/>
      <c r="AJ13" s="1333"/>
      <c r="AK13" s="1333"/>
      <c r="AL13" s="1333"/>
      <c r="AM13" s="1333"/>
      <c r="AN13" s="1333"/>
      <c r="AO13" s="790"/>
    </row>
    <row r="14" spans="1:41" s="69" customFormat="1" ht="15.75" customHeight="1" thickBot="1" x14ac:dyDescent="0.3">
      <c r="A14" s="790"/>
      <c r="B14" s="83"/>
      <c r="C14" s="1344" t="s">
        <v>14</v>
      </c>
      <c r="D14" s="1345"/>
      <c r="E14" s="1340" t="s">
        <v>18</v>
      </c>
      <c r="F14" s="1341"/>
      <c r="G14" s="77"/>
      <c r="H14" s="1334" t="s">
        <v>13</v>
      </c>
      <c r="I14" s="1335"/>
      <c r="J14" s="1062">
        <f>_xlfn.NUMBERVALUE(T2)</f>
        <v>22</v>
      </c>
      <c r="K14" s="77"/>
      <c r="L14" s="1338" t="s">
        <v>34</v>
      </c>
      <c r="M14" s="1339"/>
      <c r="N14" s="1063">
        <f>_xlfn.NUMBERVALUE(T5)</f>
        <v>30</v>
      </c>
      <c r="O14" s="84"/>
      <c r="P14" s="757"/>
      <c r="Q14" s="802"/>
      <c r="R14" s="1282"/>
      <c r="S14" s="801"/>
      <c r="T14" s="801"/>
      <c r="U14" s="801"/>
      <c r="V14" s="1333"/>
      <c r="W14" s="1333"/>
      <c r="X14" s="1333"/>
      <c r="Y14" s="1333"/>
      <c r="Z14" s="1333"/>
      <c r="AA14" s="1333"/>
      <c r="AB14" s="1333"/>
      <c r="AC14" s="1333"/>
      <c r="AD14" s="1333"/>
      <c r="AE14" s="1333"/>
      <c r="AF14" s="1333"/>
      <c r="AG14" s="1333"/>
      <c r="AH14" s="1333"/>
      <c r="AI14" s="1333"/>
      <c r="AJ14" s="1333"/>
      <c r="AK14" s="1333"/>
      <c r="AL14" s="1333"/>
      <c r="AM14" s="1333"/>
      <c r="AN14" s="1333"/>
      <c r="AO14" s="790"/>
    </row>
    <row r="15" spans="1:41" s="69" customFormat="1" ht="9" customHeight="1" thickBot="1" x14ac:dyDescent="0.3">
      <c r="A15" s="790"/>
      <c r="B15" s="83"/>
      <c r="C15" s="77"/>
      <c r="D15" s="77"/>
      <c r="E15" s="77"/>
      <c r="F15" s="77"/>
      <c r="G15" s="77"/>
      <c r="H15" s="1045"/>
      <c r="I15" s="1045"/>
      <c r="J15" s="1047"/>
      <c r="K15" s="77"/>
      <c r="L15" s="77"/>
      <c r="M15" s="77"/>
      <c r="N15" s="86"/>
      <c r="O15" s="84"/>
      <c r="P15" s="757"/>
      <c r="Q15" s="802"/>
      <c r="R15" s="1282"/>
      <c r="S15" s="801"/>
      <c r="T15" s="801"/>
      <c r="U15" s="801"/>
      <c r="V15" s="1333"/>
      <c r="W15" s="1333"/>
      <c r="X15" s="1333"/>
      <c r="Y15" s="1333"/>
      <c r="Z15" s="1333"/>
      <c r="AA15" s="1333"/>
      <c r="AB15" s="1333"/>
      <c r="AC15" s="1333"/>
      <c r="AD15" s="1333"/>
      <c r="AE15" s="1333"/>
      <c r="AF15" s="1333"/>
      <c r="AG15" s="1333"/>
      <c r="AH15" s="1333"/>
      <c r="AI15" s="1333"/>
      <c r="AJ15" s="1333"/>
      <c r="AK15" s="1333"/>
      <c r="AL15" s="1333"/>
      <c r="AM15" s="1333"/>
      <c r="AN15" s="1333"/>
      <c r="AO15" s="790"/>
    </row>
    <row r="16" spans="1:41" s="69" customFormat="1" ht="15.75" customHeight="1" thickBot="1" x14ac:dyDescent="0.3">
      <c r="A16" s="790"/>
      <c r="B16" s="83"/>
      <c r="C16" s="77"/>
      <c r="D16" s="77"/>
      <c r="E16" s="77"/>
      <c r="F16" s="77"/>
      <c r="G16" s="77"/>
      <c r="H16" s="1334" t="s">
        <v>163</v>
      </c>
      <c r="I16" s="1335"/>
      <c r="J16" s="1048">
        <f>_xlfn.NUMBERVALUE(T3) / 100</f>
        <v>1</v>
      </c>
      <c r="K16" s="77"/>
      <c r="L16" s="1338" t="s">
        <v>207</v>
      </c>
      <c r="M16" s="1339"/>
      <c r="N16" s="727">
        <f>IF(N14&gt;31,0.85,0.5+(N14-20)*0.03)</f>
        <v>0.8</v>
      </c>
      <c r="O16" s="84"/>
      <c r="P16" s="757"/>
      <c r="Q16" s="802"/>
      <c r="R16" s="1282"/>
      <c r="S16" s="801"/>
      <c r="T16" s="801"/>
      <c r="U16" s="801"/>
      <c r="V16" s="1333"/>
      <c r="W16" s="1333"/>
      <c r="X16" s="1333"/>
      <c r="Y16" s="1333"/>
      <c r="Z16" s="1333"/>
      <c r="AA16" s="1333"/>
      <c r="AB16" s="1333"/>
      <c r="AC16" s="1333"/>
      <c r="AD16" s="1333"/>
      <c r="AE16" s="1333"/>
      <c r="AF16" s="1333"/>
      <c r="AG16" s="1333"/>
      <c r="AH16" s="1333"/>
      <c r="AI16" s="1333"/>
      <c r="AJ16" s="1333"/>
      <c r="AK16" s="1333"/>
      <c r="AL16" s="1333"/>
      <c r="AM16" s="1333"/>
      <c r="AN16" s="1333"/>
      <c r="AO16" s="790"/>
    </row>
    <row r="17" spans="1:41" s="69" customFormat="1" ht="7.5" customHeight="1" thickBot="1" x14ac:dyDescent="0.25">
      <c r="A17" s="790"/>
      <c r="B17" s="83"/>
      <c r="C17" s="78"/>
      <c r="D17" s="78"/>
      <c r="E17" s="77"/>
      <c r="F17" s="77"/>
      <c r="G17" s="77"/>
      <c r="H17" s="1045"/>
      <c r="I17" s="1045"/>
      <c r="J17" s="1047"/>
      <c r="K17" s="77"/>
      <c r="L17" s="77"/>
      <c r="M17" s="77"/>
      <c r="N17" s="77"/>
      <c r="O17" s="84"/>
      <c r="P17" s="757"/>
      <c r="Q17" s="802"/>
      <c r="R17" s="1282"/>
      <c r="S17" s="801"/>
      <c r="T17" s="801"/>
      <c r="U17" s="801"/>
      <c r="V17" s="1333"/>
      <c r="W17" s="1333"/>
      <c r="X17" s="1333"/>
      <c r="Y17" s="1333"/>
      <c r="Z17" s="1333"/>
      <c r="AA17" s="1333"/>
      <c r="AB17" s="1333"/>
      <c r="AC17" s="1333"/>
      <c r="AD17" s="1333"/>
      <c r="AE17" s="1333"/>
      <c r="AF17" s="1333"/>
      <c r="AG17" s="1333"/>
      <c r="AH17" s="1333"/>
      <c r="AI17" s="1333"/>
      <c r="AJ17" s="1333"/>
      <c r="AK17" s="1333"/>
      <c r="AL17" s="1333"/>
      <c r="AM17" s="1333"/>
      <c r="AN17" s="1333"/>
      <c r="AO17" s="790"/>
    </row>
    <row r="18" spans="1:41" s="69" customFormat="1" ht="15.75" customHeight="1" thickBot="1" x14ac:dyDescent="0.3">
      <c r="A18" s="790"/>
      <c r="B18" s="83"/>
      <c r="C18" s="77"/>
      <c r="D18" s="77"/>
      <c r="E18" s="77"/>
      <c r="F18" s="77"/>
      <c r="G18" s="77"/>
      <c r="H18" s="1334" t="s">
        <v>124</v>
      </c>
      <c r="I18" s="1335"/>
      <c r="J18" s="1048">
        <f>_xlfn.NUMBERVALUE(T4) / 100</f>
        <v>1</v>
      </c>
      <c r="K18" s="77"/>
      <c r="L18" s="1338" t="s">
        <v>208</v>
      </c>
      <c r="M18" s="1339"/>
      <c r="N18" s="727">
        <f>_xlfn.NUMBERVALUE(T6) / 100</f>
        <v>0.4</v>
      </c>
      <c r="O18" s="84"/>
      <c r="P18" s="757"/>
      <c r="Q18" s="802"/>
      <c r="R18" s="1282"/>
      <c r="S18" s="801"/>
      <c r="T18" s="801"/>
      <c r="U18" s="801"/>
      <c r="V18" s="1333"/>
      <c r="W18" s="1333"/>
      <c r="X18" s="1333"/>
      <c r="Y18" s="1333"/>
      <c r="Z18" s="1333"/>
      <c r="AA18" s="1333"/>
      <c r="AB18" s="1333"/>
      <c r="AC18" s="1333"/>
      <c r="AD18" s="1333"/>
      <c r="AE18" s="1333"/>
      <c r="AF18" s="1333"/>
      <c r="AG18" s="1333"/>
      <c r="AH18" s="1333"/>
      <c r="AI18" s="1333"/>
      <c r="AJ18" s="1333"/>
      <c r="AK18" s="1333"/>
      <c r="AL18" s="1333"/>
      <c r="AM18" s="1333"/>
      <c r="AN18" s="1333"/>
      <c r="AO18" s="790"/>
    </row>
    <row r="19" spans="1:41" s="69" customFormat="1" ht="10.5" customHeight="1" x14ac:dyDescent="0.25">
      <c r="A19" s="790"/>
      <c r="B19" s="1055"/>
      <c r="C19" s="1056"/>
      <c r="D19" s="1056"/>
      <c r="E19" s="1056"/>
      <c r="F19" s="1056"/>
      <c r="G19" s="1056"/>
      <c r="H19" s="1057"/>
      <c r="I19" s="1057"/>
      <c r="J19" s="1058"/>
      <c r="K19" s="1056"/>
      <c r="L19" s="1059"/>
      <c r="M19" s="1059"/>
      <c r="N19" s="1060"/>
      <c r="O19" s="1061"/>
      <c r="P19" s="757"/>
      <c r="Q19" s="802"/>
      <c r="R19" s="1282"/>
      <c r="S19" s="801"/>
      <c r="T19" s="801"/>
      <c r="U19" s="801"/>
      <c r="V19" s="1333"/>
      <c r="W19" s="1333"/>
      <c r="X19" s="1333"/>
      <c r="Y19" s="1333"/>
      <c r="Z19" s="1333"/>
      <c r="AA19" s="1333"/>
      <c r="AB19" s="1333"/>
      <c r="AC19" s="1333"/>
      <c r="AD19" s="1333"/>
      <c r="AE19" s="1333"/>
      <c r="AF19" s="1333"/>
      <c r="AG19" s="1333"/>
      <c r="AH19" s="1333"/>
      <c r="AI19" s="1333"/>
      <c r="AJ19" s="1333"/>
      <c r="AK19" s="1333"/>
      <c r="AL19" s="1333"/>
      <c r="AM19" s="1333"/>
      <c r="AN19" s="1333"/>
      <c r="AO19" s="790"/>
    </row>
    <row r="20" spans="1:41" s="63" customFormat="1" ht="6" customHeight="1" x14ac:dyDescent="0.2">
      <c r="A20" s="789"/>
      <c r="B20" s="649"/>
      <c r="C20" s="650"/>
      <c r="D20" s="650"/>
      <c r="E20" s="650"/>
      <c r="F20" s="650"/>
      <c r="G20" s="650"/>
      <c r="H20" s="651"/>
      <c r="I20" s="651"/>
      <c r="J20" s="1050"/>
      <c r="K20" s="650"/>
      <c r="L20" s="650"/>
      <c r="M20" s="650"/>
      <c r="N20" s="650"/>
      <c r="O20" s="652"/>
      <c r="P20" s="756"/>
      <c r="Q20" s="800"/>
      <c r="R20" s="1281"/>
      <c r="S20" s="799"/>
      <c r="T20" s="799"/>
      <c r="U20" s="799"/>
      <c r="V20" s="1332"/>
      <c r="W20" s="1332"/>
      <c r="X20" s="1332"/>
      <c r="Y20" s="1332"/>
      <c r="Z20" s="1332"/>
      <c r="AA20" s="1332"/>
      <c r="AB20" s="1332"/>
      <c r="AC20" s="1332"/>
      <c r="AD20" s="1332"/>
      <c r="AE20" s="1332"/>
      <c r="AF20" s="1332"/>
      <c r="AG20" s="1332"/>
      <c r="AH20" s="1332"/>
      <c r="AI20" s="1332"/>
      <c r="AJ20" s="1332"/>
      <c r="AK20" s="1332"/>
      <c r="AL20" s="1332"/>
      <c r="AM20" s="1332"/>
      <c r="AN20" s="1332"/>
      <c r="AO20" s="789"/>
    </row>
    <row r="21" spans="1:41" s="69" customFormat="1" ht="15.75" customHeight="1" x14ac:dyDescent="0.25">
      <c r="A21" s="790"/>
      <c r="B21" s="83"/>
      <c r="C21" s="77"/>
      <c r="D21" s="77"/>
      <c r="E21" s="77"/>
      <c r="F21" s="77"/>
      <c r="G21" s="77"/>
      <c r="H21" s="1051"/>
      <c r="I21" s="1051"/>
      <c r="J21" s="1052"/>
      <c r="K21" s="77"/>
      <c r="L21" s="1053"/>
      <c r="M21" s="1053"/>
      <c r="N21" s="1054"/>
      <c r="O21" s="84"/>
      <c r="P21" s="757"/>
      <c r="Q21" s="802"/>
      <c r="R21" s="1282"/>
      <c r="S21" s="801"/>
      <c r="T21" s="801"/>
      <c r="U21" s="801"/>
      <c r="V21" s="1333"/>
      <c r="W21" s="1333"/>
      <c r="X21" s="1333"/>
      <c r="Y21" s="1333"/>
      <c r="Z21" s="1333"/>
      <c r="AA21" s="1333"/>
      <c r="AB21" s="1333"/>
      <c r="AC21" s="1333"/>
      <c r="AD21" s="1333"/>
      <c r="AE21" s="1333"/>
      <c r="AF21" s="1333"/>
      <c r="AG21" s="1333"/>
      <c r="AH21" s="1333"/>
      <c r="AI21" s="1333"/>
      <c r="AJ21" s="1333"/>
      <c r="AK21" s="1333"/>
      <c r="AL21" s="1333"/>
      <c r="AM21" s="1333"/>
      <c r="AN21" s="1333"/>
      <c r="AO21" s="790"/>
    </row>
    <row r="22" spans="1:41" s="69" customFormat="1" ht="15.75" customHeight="1" x14ac:dyDescent="0.25">
      <c r="A22" s="790"/>
      <c r="B22" s="83"/>
      <c r="C22" s="77"/>
      <c r="D22" s="77"/>
      <c r="E22" s="77"/>
      <c r="F22" s="77"/>
      <c r="G22" s="77"/>
      <c r="H22" s="1051"/>
      <c r="I22" s="1051"/>
      <c r="J22" s="1052"/>
      <c r="K22" s="77"/>
      <c r="L22" s="1053"/>
      <c r="M22" s="1053"/>
      <c r="N22" s="1054"/>
      <c r="O22" s="84"/>
      <c r="P22" s="757"/>
      <c r="Q22" s="802"/>
      <c r="R22" s="1282"/>
      <c r="S22" s="801"/>
      <c r="T22" s="801"/>
      <c r="U22" s="801"/>
      <c r="V22" s="1333"/>
      <c r="W22" s="1333"/>
      <c r="X22" s="1333"/>
      <c r="Y22" s="1333"/>
      <c r="Z22" s="1333"/>
      <c r="AA22" s="1333"/>
      <c r="AB22" s="1333"/>
      <c r="AC22" s="1333"/>
      <c r="AD22" s="1333"/>
      <c r="AE22" s="1333"/>
      <c r="AF22" s="1333"/>
      <c r="AG22" s="1333"/>
      <c r="AH22" s="1333"/>
      <c r="AI22" s="1333"/>
      <c r="AJ22" s="1333"/>
      <c r="AK22" s="1333"/>
      <c r="AL22" s="1333"/>
      <c r="AM22" s="1333"/>
      <c r="AN22" s="1333"/>
      <c r="AO22" s="790"/>
    </row>
    <row r="23" spans="1:41" s="63" customFormat="1" ht="6" customHeight="1" x14ac:dyDescent="0.2">
      <c r="A23" s="789"/>
      <c r="B23" s="81"/>
      <c r="C23" s="76"/>
      <c r="D23" s="76"/>
      <c r="E23" s="76"/>
      <c r="F23" s="76"/>
      <c r="G23" s="76"/>
      <c r="H23" s="74"/>
      <c r="I23" s="74"/>
      <c r="J23" s="1049"/>
      <c r="K23" s="76"/>
      <c r="L23" s="76"/>
      <c r="M23" s="76"/>
      <c r="N23" s="76"/>
      <c r="O23" s="82"/>
      <c r="P23" s="756"/>
      <c r="Q23" s="800"/>
      <c r="R23" s="1281"/>
      <c r="S23" s="799"/>
      <c r="T23" s="799"/>
      <c r="U23" s="799"/>
      <c r="V23" s="1332"/>
      <c r="W23" s="1332"/>
      <c r="X23" s="1332"/>
      <c r="Y23" s="1332"/>
      <c r="Z23" s="1332"/>
      <c r="AA23" s="1332"/>
      <c r="AB23" s="1332"/>
      <c r="AC23" s="1332"/>
      <c r="AD23" s="1332"/>
      <c r="AE23" s="1332"/>
      <c r="AF23" s="1332"/>
      <c r="AG23" s="1332"/>
      <c r="AH23" s="1332"/>
      <c r="AI23" s="1332"/>
      <c r="AJ23" s="1332"/>
      <c r="AK23" s="1332"/>
      <c r="AL23" s="1332"/>
      <c r="AM23" s="1332"/>
      <c r="AN23" s="1332"/>
      <c r="AO23" s="789"/>
    </row>
    <row r="24" spans="1:41" s="63" customFormat="1" ht="6" customHeight="1" x14ac:dyDescent="0.2">
      <c r="A24" s="789"/>
      <c r="B24" s="649"/>
      <c r="C24" s="650"/>
      <c r="D24" s="650"/>
      <c r="E24" s="650"/>
      <c r="F24" s="650"/>
      <c r="G24" s="650"/>
      <c r="H24" s="651"/>
      <c r="I24" s="651"/>
      <c r="J24" s="1050"/>
      <c r="K24" s="650"/>
      <c r="L24" s="650"/>
      <c r="M24" s="650"/>
      <c r="N24" s="650"/>
      <c r="O24" s="652"/>
      <c r="P24" s="756"/>
      <c r="Q24" s="800"/>
      <c r="R24" s="1281"/>
      <c r="S24" s="799"/>
      <c r="T24" s="799"/>
      <c r="U24" s="799"/>
      <c r="V24" s="1332"/>
      <c r="W24" s="1332"/>
      <c r="X24" s="1332"/>
      <c r="Y24" s="1332"/>
      <c r="Z24" s="1332"/>
      <c r="AA24" s="1332"/>
      <c r="AB24" s="1332"/>
      <c r="AC24" s="1332"/>
      <c r="AD24" s="1332"/>
      <c r="AE24" s="1332"/>
      <c r="AF24" s="1332"/>
      <c r="AG24" s="1332"/>
      <c r="AH24" s="1332"/>
      <c r="AI24" s="1332"/>
      <c r="AJ24" s="1332"/>
      <c r="AK24" s="1332"/>
      <c r="AL24" s="1332"/>
      <c r="AM24" s="1332"/>
      <c r="AN24" s="1332"/>
      <c r="AO24" s="789"/>
    </row>
    <row r="25" spans="1:41" s="63" customFormat="1" ht="6.75" customHeight="1" thickBot="1" x14ac:dyDescent="0.25">
      <c r="A25" s="789"/>
      <c r="B25" s="81"/>
      <c r="C25" s="76"/>
      <c r="D25" s="76"/>
      <c r="E25" s="76"/>
      <c r="F25" s="76"/>
      <c r="G25" s="76"/>
      <c r="H25" s="74"/>
      <c r="I25" s="74"/>
      <c r="J25" s="1049"/>
      <c r="K25" s="76"/>
      <c r="L25" s="76"/>
      <c r="M25" s="76"/>
      <c r="N25" s="76"/>
      <c r="O25" s="82"/>
      <c r="P25" s="756"/>
      <c r="Q25" s="800"/>
      <c r="R25" s="1281"/>
      <c r="S25" s="799"/>
      <c r="T25" s="799"/>
      <c r="U25" s="799"/>
      <c r="V25" s="1332"/>
      <c r="W25" s="1332"/>
      <c r="X25" s="1332"/>
      <c r="Y25" s="1332"/>
      <c r="Z25" s="1332"/>
      <c r="AA25" s="1332"/>
      <c r="AB25" s="1332"/>
      <c r="AC25" s="1332"/>
      <c r="AD25" s="1332"/>
      <c r="AE25" s="1332"/>
      <c r="AF25" s="1332"/>
      <c r="AG25" s="1332"/>
      <c r="AH25" s="1332"/>
      <c r="AI25" s="1332"/>
      <c r="AJ25" s="1332"/>
      <c r="AK25" s="1332"/>
      <c r="AL25" s="1332"/>
      <c r="AM25" s="1332"/>
      <c r="AN25" s="1332"/>
      <c r="AO25" s="789"/>
    </row>
    <row r="26" spans="1:41" s="63" customFormat="1" ht="18.75" customHeight="1" thickBot="1" x14ac:dyDescent="0.25">
      <c r="A26" s="789"/>
      <c r="B26" s="81"/>
      <c r="C26" s="76"/>
      <c r="D26" s="76"/>
      <c r="E26" s="76"/>
      <c r="F26" s="76"/>
      <c r="G26" s="76"/>
      <c r="H26" s="1342" t="s">
        <v>274</v>
      </c>
      <c r="I26" s="1343"/>
      <c r="J26" s="1129">
        <f ca="1">IF(J12 &lt; TODAY(),TODAY(),J12)</f>
        <v>44664</v>
      </c>
      <c r="K26" s="76"/>
      <c r="L26" s="76"/>
      <c r="M26" s="76"/>
      <c r="N26" s="76"/>
      <c r="O26" s="82"/>
      <c r="P26" s="756"/>
      <c r="Q26" s="800"/>
      <c r="R26" s="1281"/>
      <c r="S26" s="799"/>
      <c r="T26" s="799"/>
      <c r="U26" s="799"/>
      <c r="V26" s="1332"/>
      <c r="W26" s="1332"/>
      <c r="X26" s="1332"/>
      <c r="Y26" s="1332"/>
      <c r="Z26" s="1332"/>
      <c r="AA26" s="1332"/>
      <c r="AB26" s="1332"/>
      <c r="AC26" s="1332"/>
      <c r="AD26" s="1332"/>
      <c r="AE26" s="1332"/>
      <c r="AF26" s="1332"/>
      <c r="AG26" s="1332"/>
      <c r="AH26" s="1332"/>
      <c r="AI26" s="1332"/>
      <c r="AJ26" s="1332"/>
      <c r="AK26" s="1332"/>
      <c r="AL26" s="1332"/>
      <c r="AM26" s="1332"/>
      <c r="AN26" s="1332"/>
      <c r="AO26" s="789"/>
    </row>
    <row r="27" spans="1:41" s="63" customFormat="1" ht="18.75" customHeight="1" thickBot="1" x14ac:dyDescent="0.25">
      <c r="A27" s="789"/>
      <c r="B27" s="81"/>
      <c r="C27" s="76"/>
      <c r="D27" s="76"/>
      <c r="E27" s="76"/>
      <c r="F27" s="76"/>
      <c r="G27" s="76"/>
      <c r="H27" s="74"/>
      <c r="I27" s="74"/>
      <c r="J27" s="75"/>
      <c r="K27" s="76"/>
      <c r="L27" s="76"/>
      <c r="M27" s="76"/>
      <c r="N27" s="76"/>
      <c r="O27" s="82"/>
      <c r="P27" s="756"/>
      <c r="Q27" s="800"/>
      <c r="R27" s="1281"/>
      <c r="S27" s="799"/>
      <c r="T27" s="799"/>
      <c r="U27" s="799"/>
      <c r="V27" s="1332"/>
      <c r="W27" s="1332"/>
      <c r="X27" s="1332"/>
      <c r="Y27" s="1332"/>
      <c r="Z27" s="1332"/>
      <c r="AA27" s="1332"/>
      <c r="AB27" s="1332"/>
      <c r="AC27" s="1332"/>
      <c r="AD27" s="1332"/>
      <c r="AE27" s="1332"/>
      <c r="AF27" s="1332"/>
      <c r="AG27" s="1332"/>
      <c r="AH27" s="1332"/>
      <c r="AI27" s="1332"/>
      <c r="AJ27" s="1332"/>
      <c r="AK27" s="1332"/>
      <c r="AL27" s="1332"/>
      <c r="AM27" s="1332"/>
      <c r="AN27" s="1332"/>
      <c r="AO27" s="789"/>
    </row>
    <row r="28" spans="1:41" s="63" customFormat="1" ht="15.75" customHeight="1" thickBot="1" x14ac:dyDescent="0.25">
      <c r="A28" s="789"/>
      <c r="B28" s="81"/>
      <c r="C28" s="76"/>
      <c r="D28" s="1336" t="str">
        <f ca="1">IF(Параметры!E19 &gt; 2,"Прогнозная ВП","Назначенная ВП")</f>
        <v>Назначенная ВП</v>
      </c>
      <c r="E28" s="1337"/>
      <c r="F28" s="1125">
        <f ca="1">IF(Параметры!E19 &lt; 3,Инструкция!U32,IF(Параметры!E19 = 3, 'Военная пенсия 3'!I13,'Военная пенсия 4'!I17))</f>
        <v>36492.063999999998</v>
      </c>
      <c r="G28" s="76"/>
      <c r="H28" s="1336" t="s">
        <v>275</v>
      </c>
      <c r="I28" s="1337"/>
      <c r="J28" s="1125">
        <f ca="1">IF(Параметры!E19 &lt; 3,Инструкция!U35,IF(Параметры!E19 = 3, 'Военная пенсия 3'!K13*F28,F28*'Военная пенсия 4'!K17))</f>
        <v>3138.32</v>
      </c>
      <c r="K28" s="76"/>
      <c r="L28" s="1336" t="s">
        <v>277</v>
      </c>
      <c r="M28" s="1337"/>
      <c r="N28" s="1125">
        <f ca="1">F28 + J28</f>
        <v>39630.383999999998</v>
      </c>
      <c r="O28" s="82"/>
      <c r="P28" s="756"/>
      <c r="Q28" s="800"/>
      <c r="R28" s="1281"/>
      <c r="S28" s="799"/>
      <c r="T28" s="799"/>
      <c r="U28" s="799"/>
      <c r="V28" s="1332"/>
      <c r="W28" s="1332"/>
      <c r="X28" s="1332"/>
      <c r="Y28" s="1332"/>
      <c r="Z28" s="1332"/>
      <c r="AA28" s="1332"/>
      <c r="AB28" s="1332"/>
      <c r="AC28" s="1332"/>
      <c r="AD28" s="1332"/>
      <c r="AE28" s="1332"/>
      <c r="AF28" s="1332"/>
      <c r="AG28" s="1332"/>
      <c r="AH28" s="1332"/>
      <c r="AI28" s="1332"/>
      <c r="AJ28" s="1332"/>
      <c r="AK28" s="1332"/>
      <c r="AL28" s="1332"/>
      <c r="AM28" s="1332"/>
      <c r="AN28" s="1332"/>
      <c r="AO28" s="789"/>
    </row>
    <row r="29" spans="1:41" s="63" customFormat="1" ht="5.25" customHeight="1" x14ac:dyDescent="0.2">
      <c r="A29" s="789"/>
      <c r="B29" s="81"/>
      <c r="C29" s="76"/>
      <c r="D29" s="76"/>
      <c r="E29" s="76"/>
      <c r="F29" s="76"/>
      <c r="G29" s="76"/>
      <c r="H29" s="74"/>
      <c r="I29" s="74"/>
      <c r="J29" s="75"/>
      <c r="K29" s="76"/>
      <c r="L29" s="76"/>
      <c r="M29" s="76"/>
      <c r="N29" s="76"/>
      <c r="O29" s="82"/>
      <c r="P29" s="756"/>
      <c r="Q29" s="800"/>
      <c r="R29" s="1281"/>
      <c r="S29" s="799"/>
      <c r="T29" s="799"/>
      <c r="U29" s="799"/>
      <c r="V29" s="1332"/>
      <c r="W29" s="1332"/>
      <c r="X29" s="1332"/>
      <c r="Y29" s="1332"/>
      <c r="Z29" s="1332"/>
      <c r="AA29" s="1332"/>
      <c r="AB29" s="1332"/>
      <c r="AC29" s="1332"/>
      <c r="AD29" s="1332"/>
      <c r="AE29" s="1332"/>
      <c r="AF29" s="1332"/>
      <c r="AG29" s="1332"/>
      <c r="AH29" s="1332"/>
      <c r="AI29" s="1332"/>
      <c r="AJ29" s="1332"/>
      <c r="AK29" s="1332"/>
      <c r="AL29" s="1332"/>
      <c r="AM29" s="1332"/>
      <c r="AN29" s="1332"/>
      <c r="AO29" s="789"/>
    </row>
    <row r="30" spans="1:41" s="63" customFormat="1" ht="12.75" hidden="1" x14ac:dyDescent="0.2">
      <c r="A30" s="789"/>
      <c r="B30" s="81"/>
      <c r="C30" s="76"/>
      <c r="D30" s="76"/>
      <c r="E30" s="76"/>
      <c r="F30" s="76"/>
      <c r="G30" s="76"/>
      <c r="H30" s="74"/>
      <c r="I30" s="74"/>
      <c r="J30" s="75"/>
      <c r="K30" s="76"/>
      <c r="L30" s="76"/>
      <c r="M30" s="76"/>
      <c r="N30" s="76"/>
      <c r="O30" s="82"/>
      <c r="P30" s="756"/>
      <c r="Q30" s="800"/>
      <c r="R30" s="1281"/>
      <c r="S30" s="799"/>
      <c r="T30" s="799"/>
      <c r="U30" s="799"/>
      <c r="V30" s="1332"/>
      <c r="W30" s="1332"/>
      <c r="X30" s="1332"/>
      <c r="Y30" s="1332"/>
      <c r="Z30" s="1332"/>
      <c r="AA30" s="1332"/>
      <c r="AB30" s="1332"/>
      <c r="AC30" s="1332"/>
      <c r="AD30" s="1332"/>
      <c r="AE30" s="1332"/>
      <c r="AF30" s="1332"/>
      <c r="AG30" s="1332"/>
      <c r="AH30" s="1332"/>
      <c r="AI30" s="1332"/>
      <c r="AJ30" s="1332"/>
      <c r="AK30" s="1332"/>
      <c r="AL30" s="1332"/>
      <c r="AM30" s="1332"/>
      <c r="AN30" s="1332"/>
      <c r="AO30" s="789"/>
    </row>
    <row r="31" spans="1:41" s="63" customFormat="1" ht="6" customHeight="1" x14ac:dyDescent="0.2">
      <c r="A31" s="789"/>
      <c r="B31" s="649"/>
      <c r="C31" s="650"/>
      <c r="D31" s="650"/>
      <c r="E31" s="650"/>
      <c r="F31" s="650"/>
      <c r="G31" s="650"/>
      <c r="H31" s="651"/>
      <c r="I31" s="651"/>
      <c r="J31" s="1050"/>
      <c r="K31" s="650"/>
      <c r="L31" s="650"/>
      <c r="M31" s="650"/>
      <c r="N31" s="650"/>
      <c r="O31" s="652"/>
      <c r="P31" s="756"/>
      <c r="Q31" s="800"/>
      <c r="R31" s="1281"/>
      <c r="S31" s="799"/>
      <c r="T31" s="799"/>
      <c r="U31" s="799"/>
      <c r="V31" s="1332"/>
      <c r="W31" s="1332"/>
      <c r="X31" s="1332"/>
      <c r="Y31" s="1332"/>
      <c r="Z31" s="1332"/>
      <c r="AA31" s="1332"/>
      <c r="AB31" s="1332"/>
      <c r="AC31" s="1332"/>
      <c r="AD31" s="1332"/>
      <c r="AE31" s="1332"/>
      <c r="AF31" s="1332"/>
      <c r="AG31" s="1332"/>
      <c r="AH31" s="1332"/>
      <c r="AI31" s="1332"/>
      <c r="AJ31" s="1332"/>
      <c r="AK31" s="1332"/>
      <c r="AL31" s="1332"/>
      <c r="AM31" s="1332"/>
      <c r="AN31" s="1332"/>
      <c r="AO31" s="789"/>
    </row>
    <row r="32" spans="1:41" s="63" customFormat="1" ht="12.75" x14ac:dyDescent="0.2">
      <c r="A32" s="789"/>
      <c r="B32" s="81"/>
      <c r="C32" s="76"/>
      <c r="D32" s="76"/>
      <c r="E32" s="76"/>
      <c r="F32" s="76"/>
      <c r="G32" s="76"/>
      <c r="H32" s="74"/>
      <c r="I32" s="74"/>
      <c r="J32" s="75"/>
      <c r="K32" s="76"/>
      <c r="L32" s="76"/>
      <c r="M32" s="76"/>
      <c r="N32" s="76"/>
      <c r="O32" s="82"/>
      <c r="P32" s="756"/>
      <c r="Q32" s="800"/>
      <c r="R32" s="1281"/>
      <c r="S32" s="799"/>
      <c r="T32" s="799"/>
      <c r="U32" s="799"/>
      <c r="V32" s="1332"/>
      <c r="W32" s="1332"/>
      <c r="X32" s="1332"/>
      <c r="Y32" s="1332"/>
      <c r="Z32" s="1332"/>
      <c r="AA32" s="1332"/>
      <c r="AB32" s="1332"/>
      <c r="AC32" s="1332"/>
      <c r="AD32" s="1332"/>
      <c r="AE32" s="1332"/>
      <c r="AF32" s="1332"/>
      <c r="AG32" s="1332"/>
      <c r="AH32" s="1332"/>
      <c r="AI32" s="1332"/>
      <c r="AJ32" s="1332"/>
      <c r="AK32" s="1332"/>
      <c r="AL32" s="1332"/>
      <c r="AM32" s="1332"/>
      <c r="AN32" s="1332"/>
      <c r="AO32" s="789"/>
    </row>
    <row r="33" spans="1:41" s="63" customFormat="1" ht="12.75" x14ac:dyDescent="0.2">
      <c r="A33" s="789"/>
      <c r="B33" s="81"/>
      <c r="C33" s="76"/>
      <c r="D33" s="76"/>
      <c r="E33" s="76"/>
      <c r="F33" s="76"/>
      <c r="G33" s="76"/>
      <c r="H33" s="74"/>
      <c r="I33" s="74"/>
      <c r="J33" s="75"/>
      <c r="K33" s="76"/>
      <c r="L33" s="76"/>
      <c r="M33" s="76"/>
      <c r="N33" s="76"/>
      <c r="O33" s="82"/>
      <c r="P33" s="756"/>
      <c r="Q33" s="800"/>
      <c r="R33" s="1281"/>
      <c r="S33" s="799"/>
      <c r="T33" s="799"/>
      <c r="U33" s="799"/>
      <c r="V33" s="1332"/>
      <c r="W33" s="1332"/>
      <c r="X33" s="1332"/>
      <c r="Y33" s="1332"/>
      <c r="Z33" s="1332"/>
      <c r="AA33" s="1332"/>
      <c r="AB33" s="1332"/>
      <c r="AC33" s="1332"/>
      <c r="AD33" s="1332"/>
      <c r="AE33" s="1332"/>
      <c r="AF33" s="1332"/>
      <c r="AG33" s="1332"/>
      <c r="AH33" s="1332"/>
      <c r="AI33" s="1332"/>
      <c r="AJ33" s="1332"/>
      <c r="AK33" s="1332"/>
      <c r="AL33" s="1332"/>
      <c r="AM33" s="1332"/>
      <c r="AN33" s="1332"/>
      <c r="AO33" s="789"/>
    </row>
    <row r="34" spans="1:41" s="63" customFormat="1" ht="12.75" x14ac:dyDescent="0.2">
      <c r="A34" s="789"/>
      <c r="B34" s="81"/>
      <c r="C34" s="76"/>
      <c r="D34" s="76"/>
      <c r="E34" s="76"/>
      <c r="F34" s="76"/>
      <c r="G34" s="76"/>
      <c r="H34" s="74"/>
      <c r="I34" s="74"/>
      <c r="J34" s="75"/>
      <c r="K34" s="76"/>
      <c r="L34" s="76"/>
      <c r="M34" s="76"/>
      <c r="N34" s="76"/>
      <c r="O34" s="82"/>
      <c r="P34" s="756"/>
      <c r="Q34" s="800"/>
      <c r="R34" s="1281"/>
      <c r="S34" s="799"/>
      <c r="T34" s="799"/>
      <c r="U34" s="799"/>
      <c r="V34" s="1332"/>
      <c r="W34" s="1332"/>
      <c r="X34" s="1332"/>
      <c r="Y34" s="1332"/>
      <c r="Z34" s="1332"/>
      <c r="AA34" s="1332"/>
      <c r="AB34" s="1332"/>
      <c r="AC34" s="1332"/>
      <c r="AD34" s="1332"/>
      <c r="AE34" s="1332"/>
      <c r="AF34" s="1332"/>
      <c r="AG34" s="1332"/>
      <c r="AH34" s="1332"/>
      <c r="AI34" s="1332"/>
      <c r="AJ34" s="1332"/>
      <c r="AK34" s="1332"/>
      <c r="AL34" s="1332"/>
      <c r="AM34" s="1332"/>
      <c r="AN34" s="1332"/>
      <c r="AO34" s="789"/>
    </row>
    <row r="35" spans="1:41" s="63" customFormat="1" ht="13.5" thickBot="1" x14ac:dyDescent="0.25">
      <c r="A35" s="789"/>
      <c r="B35" s="1180" t="s">
        <v>24</v>
      </c>
      <c r="C35" s="1064" t="str">
        <f ca="1">CONCATENATE("Владимир2009, Colonel2012  2019 - ",TEXT(TODAY(),"ГГГГ")," г.г. ")</f>
        <v xml:space="preserve">Владимир2009, Colonel2012  2019 - 2022 г.г. </v>
      </c>
      <c r="D35" s="85"/>
      <c r="E35" s="85"/>
      <c r="F35" s="85"/>
      <c r="G35" s="85"/>
      <c r="H35" s="85"/>
      <c r="I35" s="85"/>
      <c r="J35" s="85"/>
      <c r="K35" s="85"/>
      <c r="L35" s="85"/>
      <c r="M35" s="1181"/>
      <c r="N35" s="1181"/>
      <c r="O35" s="1065"/>
      <c r="P35" s="756"/>
      <c r="Q35" s="800"/>
      <c r="R35" s="1281"/>
      <c r="S35" s="799"/>
      <c r="T35" s="799"/>
      <c r="U35" s="799"/>
      <c r="V35" s="1332"/>
      <c r="W35" s="1332"/>
      <c r="X35" s="1332"/>
      <c r="Y35" s="1332"/>
      <c r="Z35" s="1332"/>
      <c r="AA35" s="1332"/>
      <c r="AB35" s="1332"/>
      <c r="AC35" s="1332"/>
      <c r="AD35" s="1332"/>
      <c r="AE35" s="1332"/>
      <c r="AF35" s="1332"/>
      <c r="AG35" s="1332"/>
      <c r="AH35" s="1332"/>
      <c r="AI35" s="1332"/>
      <c r="AJ35" s="1332"/>
      <c r="AK35" s="1332"/>
      <c r="AL35" s="1332"/>
      <c r="AM35" s="1332"/>
      <c r="AN35" s="1332"/>
      <c r="AO35" s="789"/>
    </row>
    <row r="36" spans="1:41" s="63" customFormat="1" ht="5.25" customHeight="1" x14ac:dyDescent="0.2">
      <c r="A36" s="789"/>
      <c r="C36" s="755"/>
      <c r="D36" s="755"/>
      <c r="E36" s="755"/>
      <c r="F36" s="755"/>
      <c r="G36" s="755"/>
      <c r="H36" s="755"/>
      <c r="I36" s="755"/>
      <c r="J36" s="755"/>
      <c r="K36" s="755"/>
      <c r="L36" s="755"/>
      <c r="M36" s="755"/>
      <c r="N36" s="755"/>
      <c r="O36" s="755"/>
      <c r="P36" s="755"/>
      <c r="Q36" s="800"/>
      <c r="R36" s="1281"/>
      <c r="S36" s="799"/>
      <c r="T36" s="799"/>
      <c r="U36" s="799"/>
      <c r="V36" s="1332"/>
      <c r="W36" s="1332"/>
      <c r="X36" s="1332"/>
      <c r="Y36" s="1332"/>
      <c r="Z36" s="1332"/>
      <c r="AA36" s="1332"/>
      <c r="AB36" s="1332"/>
      <c r="AC36" s="1332"/>
      <c r="AD36" s="1332"/>
      <c r="AE36" s="1332"/>
      <c r="AF36" s="1332"/>
      <c r="AG36" s="1332"/>
      <c r="AH36" s="1332"/>
      <c r="AI36" s="1332"/>
      <c r="AJ36" s="1332"/>
      <c r="AK36" s="1332"/>
      <c r="AL36" s="1332"/>
      <c r="AM36" s="1332"/>
      <c r="AN36" s="1332"/>
      <c r="AO36" s="789"/>
    </row>
    <row r="37" spans="1:41" s="63" customFormat="1" ht="12.75" x14ac:dyDescent="0.2">
      <c r="A37" s="789"/>
      <c r="Q37" s="800"/>
      <c r="R37" s="800"/>
      <c r="S37" s="799"/>
      <c r="T37" s="799"/>
      <c r="U37" s="799"/>
      <c r="V37" s="1332"/>
      <c r="W37" s="1332"/>
      <c r="X37" s="1332"/>
      <c r="Y37" s="1332"/>
      <c r="Z37" s="1332"/>
      <c r="AA37" s="1332"/>
      <c r="AB37" s="1332"/>
      <c r="AC37" s="1332"/>
      <c r="AD37" s="1332"/>
      <c r="AE37" s="1332"/>
      <c r="AF37" s="1332"/>
      <c r="AG37" s="1332"/>
      <c r="AH37" s="1332"/>
      <c r="AI37" s="1332"/>
      <c r="AJ37" s="1332"/>
      <c r="AK37" s="1332"/>
      <c r="AL37" s="1332"/>
      <c r="AM37" s="1332"/>
      <c r="AN37" s="1332"/>
      <c r="AO37" s="789"/>
    </row>
    <row r="38" spans="1:41" s="63" customFormat="1" ht="12.75" x14ac:dyDescent="0.2">
      <c r="A38" s="789"/>
      <c r="Q38" s="800"/>
      <c r="R38" s="800"/>
      <c r="S38" s="800"/>
      <c r="T38" s="800"/>
      <c r="U38" s="800"/>
      <c r="V38" s="1332"/>
      <c r="W38" s="1332"/>
      <c r="X38" s="1332"/>
      <c r="Y38" s="1332"/>
      <c r="Z38" s="1332"/>
      <c r="AA38" s="1332"/>
      <c r="AB38" s="1332"/>
      <c r="AC38" s="1332"/>
      <c r="AD38" s="1332"/>
      <c r="AE38" s="1332"/>
      <c r="AF38" s="1332"/>
      <c r="AG38" s="1332"/>
      <c r="AH38" s="1332"/>
      <c r="AI38" s="1332"/>
      <c r="AJ38" s="1332"/>
      <c r="AK38" s="1332"/>
      <c r="AL38" s="1332"/>
      <c r="AM38" s="1332"/>
      <c r="AN38" s="1332"/>
      <c r="AO38" s="789"/>
    </row>
    <row r="39" spans="1:41" s="63" customFormat="1" ht="12.75" x14ac:dyDescent="0.2">
      <c r="A39" s="789"/>
      <c r="Q39" s="800"/>
      <c r="R39" s="800"/>
      <c r="S39" s="800"/>
      <c r="T39" s="800"/>
      <c r="U39" s="800"/>
      <c r="V39" s="1332"/>
      <c r="W39" s="1332"/>
      <c r="X39" s="1332"/>
      <c r="Y39" s="1332"/>
      <c r="Z39" s="1332"/>
      <c r="AA39" s="1332"/>
      <c r="AB39" s="1332"/>
      <c r="AC39" s="1332"/>
      <c r="AD39" s="1332"/>
      <c r="AE39" s="1332"/>
      <c r="AF39" s="1332"/>
      <c r="AG39" s="1332"/>
      <c r="AH39" s="1332"/>
      <c r="AI39" s="1332"/>
      <c r="AJ39" s="1332"/>
      <c r="AK39" s="1332"/>
      <c r="AL39" s="1332"/>
      <c r="AM39" s="1332"/>
      <c r="AN39" s="1332"/>
      <c r="AO39" s="789"/>
    </row>
    <row r="40" spans="1:41" s="63" customFormat="1" ht="12.75" x14ac:dyDescent="0.2">
      <c r="A40" s="789"/>
      <c r="Q40" s="800"/>
      <c r="R40" s="800"/>
      <c r="S40" s="800"/>
      <c r="T40" s="800"/>
      <c r="U40" s="800"/>
      <c r="V40" s="1332"/>
      <c r="W40" s="1332"/>
      <c r="X40" s="1332"/>
      <c r="Y40" s="1332"/>
      <c r="Z40" s="1332"/>
      <c r="AA40" s="1332"/>
      <c r="AB40" s="1332"/>
      <c r="AC40" s="1332"/>
      <c r="AD40" s="1332"/>
      <c r="AE40" s="1332"/>
      <c r="AF40" s="1332"/>
      <c r="AG40" s="1332"/>
      <c r="AH40" s="1332"/>
      <c r="AI40" s="1332"/>
      <c r="AJ40" s="1332"/>
      <c r="AK40" s="1332"/>
      <c r="AL40" s="1332"/>
      <c r="AM40" s="1332"/>
      <c r="AN40" s="1332"/>
      <c r="AO40" s="789"/>
    </row>
    <row r="41" spans="1:41" s="63" customFormat="1" ht="12.75" x14ac:dyDescent="0.2">
      <c r="A41" s="789"/>
      <c r="Q41" s="800"/>
      <c r="R41" s="800"/>
      <c r="S41" s="800"/>
      <c r="T41" s="800"/>
      <c r="U41" s="800"/>
      <c r="V41" s="1332"/>
      <c r="W41" s="1332"/>
      <c r="X41" s="1332"/>
      <c r="Y41" s="1332"/>
      <c r="Z41" s="1332"/>
      <c r="AA41" s="1332"/>
      <c r="AB41" s="1332"/>
      <c r="AC41" s="1332"/>
      <c r="AD41" s="1332"/>
      <c r="AE41" s="1332"/>
      <c r="AF41" s="1332"/>
      <c r="AG41" s="1332"/>
      <c r="AH41" s="1332"/>
      <c r="AI41" s="1332"/>
      <c r="AJ41" s="1332"/>
      <c r="AK41" s="1332"/>
      <c r="AL41" s="1332"/>
      <c r="AM41" s="1332"/>
      <c r="AN41" s="1332"/>
      <c r="AO41" s="789"/>
    </row>
    <row r="42" spans="1:41" s="63" customFormat="1" ht="12.75" x14ac:dyDescent="0.2">
      <c r="A42" s="789"/>
      <c r="Q42" s="800"/>
      <c r="R42" s="800"/>
      <c r="S42" s="800"/>
      <c r="T42" s="800"/>
      <c r="U42" s="800"/>
      <c r="V42" s="1332"/>
      <c r="W42" s="1332"/>
      <c r="X42" s="1332"/>
      <c r="Y42" s="1332"/>
      <c r="Z42" s="1332"/>
      <c r="AA42" s="1332"/>
      <c r="AB42" s="1332"/>
      <c r="AC42" s="1332"/>
      <c r="AD42" s="1332"/>
      <c r="AE42" s="1332"/>
      <c r="AF42" s="1332"/>
      <c r="AG42" s="1332"/>
      <c r="AH42" s="1332"/>
      <c r="AI42" s="1332"/>
      <c r="AJ42" s="1332"/>
      <c r="AK42" s="1332"/>
      <c r="AL42" s="1332"/>
      <c r="AM42" s="1332"/>
      <c r="AN42" s="1332"/>
      <c r="AO42" s="789"/>
    </row>
    <row r="43" spans="1:41" s="63" customFormat="1" ht="12.75" x14ac:dyDescent="0.2">
      <c r="A43" s="789"/>
      <c r="Q43" s="800"/>
      <c r="R43" s="800"/>
      <c r="S43" s="800"/>
      <c r="T43" s="800"/>
      <c r="U43" s="800"/>
      <c r="V43" s="1332"/>
      <c r="W43" s="1332"/>
      <c r="X43" s="1332"/>
      <c r="Y43" s="1332"/>
      <c r="Z43" s="1332"/>
      <c r="AA43" s="1332"/>
      <c r="AB43" s="1332"/>
      <c r="AC43" s="1332"/>
      <c r="AD43" s="1332"/>
      <c r="AE43" s="1332"/>
      <c r="AF43" s="1332"/>
      <c r="AG43" s="1332"/>
      <c r="AH43" s="1332"/>
      <c r="AI43" s="1332"/>
      <c r="AJ43" s="1332"/>
      <c r="AK43" s="1332"/>
      <c r="AL43" s="1332"/>
      <c r="AM43" s="1332"/>
      <c r="AN43" s="1332"/>
      <c r="AO43" s="789"/>
    </row>
    <row r="44" spans="1:41" s="63" customFormat="1" ht="12.75" x14ac:dyDescent="0.2">
      <c r="A44" s="789"/>
      <c r="Q44" s="800"/>
      <c r="R44" s="800"/>
      <c r="S44" s="800"/>
      <c r="T44" s="800"/>
      <c r="U44" s="800"/>
      <c r="V44" s="1332"/>
      <c r="W44" s="1332"/>
      <c r="X44" s="1332"/>
      <c r="Y44" s="1332"/>
      <c r="Z44" s="1332"/>
      <c r="AA44" s="1332"/>
      <c r="AB44" s="1332"/>
      <c r="AC44" s="1332"/>
      <c r="AD44" s="1332"/>
      <c r="AE44" s="1332"/>
      <c r="AF44" s="1332"/>
      <c r="AG44" s="1332"/>
      <c r="AH44" s="1332"/>
      <c r="AI44" s="1332"/>
      <c r="AJ44" s="1332"/>
      <c r="AK44" s="1332"/>
      <c r="AL44" s="1332"/>
      <c r="AM44" s="1332"/>
      <c r="AN44" s="1332"/>
      <c r="AO44" s="789"/>
    </row>
    <row r="45" spans="1:41" s="63" customFormat="1" ht="12.75" x14ac:dyDescent="0.2">
      <c r="A45" s="789"/>
      <c r="Q45" s="800"/>
      <c r="R45" s="800"/>
      <c r="S45" s="800"/>
      <c r="T45" s="800"/>
      <c r="U45" s="800"/>
      <c r="V45" s="1332"/>
      <c r="W45" s="1332"/>
      <c r="X45" s="1332"/>
      <c r="Y45" s="1332"/>
      <c r="Z45" s="1332"/>
      <c r="AA45" s="1332"/>
      <c r="AB45" s="1332"/>
      <c r="AC45" s="1332"/>
      <c r="AD45" s="1332"/>
      <c r="AE45" s="1332"/>
      <c r="AF45" s="1332"/>
      <c r="AG45" s="1332"/>
      <c r="AH45" s="1332"/>
      <c r="AI45" s="1332"/>
      <c r="AJ45" s="1332"/>
      <c r="AK45" s="1332"/>
      <c r="AL45" s="1332"/>
      <c r="AM45" s="1332"/>
      <c r="AN45" s="1332"/>
      <c r="AO45" s="789"/>
    </row>
    <row r="46" spans="1:41" s="63" customFormat="1" ht="12.75" x14ac:dyDescent="0.2">
      <c r="A46" s="789"/>
      <c r="Q46" s="800"/>
      <c r="R46" s="800"/>
      <c r="S46" s="800"/>
      <c r="T46" s="800"/>
      <c r="U46" s="800"/>
      <c r="V46" s="1332"/>
      <c r="W46" s="1332"/>
      <c r="X46" s="1332"/>
      <c r="Y46" s="1332"/>
      <c r="Z46" s="1332"/>
      <c r="AA46" s="1332"/>
      <c r="AB46" s="1332"/>
      <c r="AC46" s="1332"/>
      <c r="AD46" s="1332"/>
      <c r="AE46" s="1332"/>
      <c r="AF46" s="1332"/>
      <c r="AG46" s="1332"/>
      <c r="AH46" s="1332"/>
      <c r="AI46" s="1332"/>
      <c r="AJ46" s="1332"/>
      <c r="AK46" s="1332"/>
      <c r="AL46" s="1332"/>
      <c r="AM46" s="1332"/>
      <c r="AN46" s="1332"/>
      <c r="AO46" s="789"/>
    </row>
    <row r="47" spans="1:41" s="63" customFormat="1" ht="12.75" x14ac:dyDescent="0.2">
      <c r="A47" s="789"/>
      <c r="Q47" s="800"/>
      <c r="R47" s="800"/>
      <c r="S47" s="800"/>
      <c r="T47" s="800"/>
      <c r="U47" s="800"/>
      <c r="V47" s="1332"/>
      <c r="W47" s="1332"/>
      <c r="X47" s="1332"/>
      <c r="Y47" s="1332"/>
      <c r="Z47" s="1332"/>
      <c r="AA47" s="1332"/>
      <c r="AB47" s="1332"/>
      <c r="AC47" s="1332"/>
      <c r="AD47" s="1332"/>
      <c r="AE47" s="1332"/>
      <c r="AF47" s="1332"/>
      <c r="AG47" s="1332"/>
      <c r="AH47" s="1332"/>
      <c r="AI47" s="1332"/>
      <c r="AJ47" s="1332"/>
      <c r="AK47" s="1332"/>
      <c r="AL47" s="1332"/>
      <c r="AM47" s="1332"/>
      <c r="AN47" s="1332"/>
      <c r="AO47" s="789"/>
    </row>
    <row r="48" spans="1:41" s="63" customFormat="1" ht="12.75" x14ac:dyDescent="0.2">
      <c r="A48" s="789"/>
      <c r="Q48" s="800"/>
      <c r="R48" s="800"/>
      <c r="S48" s="800"/>
      <c r="T48" s="800"/>
      <c r="U48" s="800"/>
      <c r="V48" s="1332"/>
      <c r="W48" s="1332"/>
      <c r="X48" s="1332"/>
      <c r="Y48" s="1332"/>
      <c r="Z48" s="1332"/>
      <c r="AA48" s="1332"/>
      <c r="AB48" s="1332"/>
      <c r="AC48" s="1332"/>
      <c r="AD48" s="1332"/>
      <c r="AE48" s="1332"/>
      <c r="AF48" s="1332"/>
      <c r="AG48" s="1332"/>
      <c r="AH48" s="1332"/>
      <c r="AI48" s="1332"/>
      <c r="AJ48" s="1332"/>
      <c r="AK48" s="1332"/>
      <c r="AL48" s="1332"/>
      <c r="AM48" s="1332"/>
      <c r="AN48" s="1332"/>
      <c r="AO48" s="789"/>
    </row>
    <row r="49" spans="1:41" s="63" customFormat="1" ht="12.75" x14ac:dyDescent="0.2">
      <c r="A49" s="789"/>
      <c r="Q49" s="800"/>
      <c r="R49" s="800"/>
      <c r="S49" s="800"/>
      <c r="T49" s="800"/>
      <c r="U49" s="800"/>
      <c r="V49" s="1332"/>
      <c r="W49" s="1332"/>
      <c r="X49" s="1332"/>
      <c r="Y49" s="1332"/>
      <c r="Z49" s="1332"/>
      <c r="AA49" s="1332"/>
      <c r="AB49" s="1332"/>
      <c r="AC49" s="1332"/>
      <c r="AD49" s="1332"/>
      <c r="AE49" s="1332"/>
      <c r="AF49" s="1332"/>
      <c r="AG49" s="1332"/>
      <c r="AH49" s="1332"/>
      <c r="AI49" s="1332"/>
      <c r="AJ49" s="1332"/>
      <c r="AK49" s="1332"/>
      <c r="AL49" s="1332"/>
      <c r="AM49" s="1332"/>
      <c r="AN49" s="1332"/>
      <c r="AO49" s="789"/>
    </row>
    <row r="50" spans="1:41" s="63" customFormat="1" ht="12.75" x14ac:dyDescent="0.2">
      <c r="A50" s="789"/>
      <c r="Q50" s="800"/>
      <c r="R50" s="800"/>
      <c r="S50" s="800"/>
      <c r="T50" s="800"/>
      <c r="U50" s="800"/>
      <c r="V50" s="1332"/>
      <c r="W50" s="1332"/>
      <c r="X50" s="1332"/>
      <c r="Y50" s="1332"/>
      <c r="Z50" s="1332"/>
      <c r="AA50" s="1332"/>
      <c r="AB50" s="1332"/>
      <c r="AC50" s="1332"/>
      <c r="AD50" s="1332"/>
      <c r="AE50" s="1332"/>
      <c r="AF50" s="1332"/>
      <c r="AG50" s="1332"/>
      <c r="AH50" s="1332"/>
      <c r="AI50" s="1332"/>
      <c r="AJ50" s="1332"/>
      <c r="AK50" s="1332"/>
      <c r="AL50" s="1332"/>
      <c r="AM50" s="1332"/>
      <c r="AN50" s="1332"/>
      <c r="AO50" s="789"/>
    </row>
    <row r="51" spans="1:41" s="63" customFormat="1" ht="12.75" x14ac:dyDescent="0.2">
      <c r="A51" s="789"/>
      <c r="Q51" s="800"/>
      <c r="R51" s="800"/>
      <c r="S51" s="800"/>
      <c r="T51" s="800"/>
      <c r="U51" s="800"/>
      <c r="V51" s="1332"/>
      <c r="W51" s="1332"/>
      <c r="X51" s="1332"/>
      <c r="Y51" s="1332"/>
      <c r="Z51" s="1332"/>
      <c r="AA51" s="1332"/>
      <c r="AB51" s="1332"/>
      <c r="AC51" s="1332"/>
      <c r="AD51" s="1332"/>
      <c r="AE51" s="1332"/>
      <c r="AF51" s="1332"/>
      <c r="AG51" s="1332"/>
      <c r="AH51" s="1332"/>
      <c r="AI51" s="1332"/>
      <c r="AJ51" s="1332"/>
      <c r="AK51" s="1332"/>
      <c r="AL51" s="1332"/>
      <c r="AM51" s="1332"/>
      <c r="AN51" s="1332"/>
      <c r="AO51" s="789"/>
    </row>
    <row r="52" spans="1:41" s="63" customFormat="1" ht="12.75" x14ac:dyDescent="0.2">
      <c r="A52" s="789"/>
      <c r="Q52" s="800"/>
      <c r="R52" s="800"/>
      <c r="S52" s="800"/>
      <c r="T52" s="800"/>
      <c r="U52" s="800"/>
      <c r="V52" s="1332"/>
      <c r="W52" s="1332"/>
      <c r="X52" s="1332"/>
      <c r="Y52" s="1332"/>
      <c r="Z52" s="1332"/>
      <c r="AA52" s="1332"/>
      <c r="AB52" s="1332"/>
      <c r="AC52" s="1332"/>
      <c r="AD52" s="1332"/>
      <c r="AE52" s="1332"/>
      <c r="AF52" s="1332"/>
      <c r="AG52" s="1332"/>
      <c r="AH52" s="1332"/>
      <c r="AI52" s="1332"/>
      <c r="AJ52" s="1332"/>
      <c r="AK52" s="1332"/>
      <c r="AL52" s="1332"/>
      <c r="AM52" s="1332"/>
      <c r="AN52" s="1332"/>
      <c r="AO52" s="789"/>
    </row>
    <row r="53" spans="1:41" s="63" customFormat="1" ht="12.75" x14ac:dyDescent="0.2">
      <c r="A53" s="789"/>
      <c r="Q53" s="800"/>
      <c r="R53" s="800"/>
      <c r="S53" s="800"/>
      <c r="T53" s="800"/>
      <c r="U53" s="800"/>
      <c r="V53" s="1332"/>
      <c r="W53" s="1332"/>
      <c r="X53" s="1332"/>
      <c r="Y53" s="1332"/>
      <c r="Z53" s="1332"/>
      <c r="AA53" s="1332"/>
      <c r="AB53" s="1332"/>
      <c r="AC53" s="1332"/>
      <c r="AD53" s="1332"/>
      <c r="AE53" s="1332"/>
      <c r="AF53" s="1332"/>
      <c r="AG53" s="1332"/>
      <c r="AH53" s="1332"/>
      <c r="AI53" s="1332"/>
      <c r="AJ53" s="1332"/>
      <c r="AK53" s="1332"/>
      <c r="AL53" s="1332"/>
      <c r="AM53" s="1332"/>
      <c r="AN53" s="1332"/>
      <c r="AO53" s="789"/>
    </row>
    <row r="54" spans="1:41" s="63" customFormat="1" ht="12.75" x14ac:dyDescent="0.2">
      <c r="A54" s="789"/>
      <c r="Q54" s="800"/>
      <c r="R54" s="800"/>
      <c r="S54" s="800"/>
      <c r="T54" s="800"/>
      <c r="U54" s="800"/>
      <c r="V54" s="1332"/>
      <c r="W54" s="1332"/>
      <c r="X54" s="1332"/>
      <c r="Y54" s="1332"/>
      <c r="Z54" s="1332"/>
      <c r="AA54" s="1332"/>
      <c r="AB54" s="1332"/>
      <c r="AC54" s="1332"/>
      <c r="AD54" s="1332"/>
      <c r="AE54" s="1332"/>
      <c r="AF54" s="1332"/>
      <c r="AG54" s="1332"/>
      <c r="AH54" s="1332"/>
      <c r="AI54" s="1332"/>
      <c r="AJ54" s="1332"/>
      <c r="AK54" s="1332"/>
      <c r="AL54" s="1332"/>
      <c r="AM54" s="1332"/>
      <c r="AN54" s="1332"/>
      <c r="AO54" s="789"/>
    </row>
    <row r="55" spans="1:41" s="63" customFormat="1" ht="12.75" x14ac:dyDescent="0.2">
      <c r="A55" s="789"/>
      <c r="Q55" s="800"/>
      <c r="R55" s="800"/>
      <c r="S55" s="800"/>
      <c r="T55" s="800"/>
      <c r="U55" s="800"/>
      <c r="V55" s="1332"/>
      <c r="W55" s="1332"/>
      <c r="X55" s="1332"/>
      <c r="Y55" s="1332"/>
      <c r="Z55" s="1332"/>
      <c r="AA55" s="1332"/>
      <c r="AB55" s="1332"/>
      <c r="AC55" s="1332"/>
      <c r="AD55" s="1332"/>
      <c r="AE55" s="1332"/>
      <c r="AF55" s="1332"/>
      <c r="AG55" s="1332"/>
      <c r="AH55" s="1332"/>
      <c r="AI55" s="1332"/>
      <c r="AJ55" s="1332"/>
      <c r="AK55" s="1332"/>
      <c r="AL55" s="1332"/>
      <c r="AM55" s="1332"/>
      <c r="AN55" s="1332"/>
      <c r="AO55" s="789"/>
    </row>
    <row r="56" spans="1:41" s="63" customFormat="1" ht="12.75" x14ac:dyDescent="0.2">
      <c r="A56" s="789"/>
      <c r="Q56" s="800"/>
      <c r="R56" s="800"/>
      <c r="S56" s="800"/>
      <c r="T56" s="800"/>
      <c r="U56" s="800"/>
      <c r="V56" s="1332"/>
      <c r="W56" s="1332"/>
      <c r="X56" s="1332"/>
      <c r="Y56" s="1332"/>
      <c r="Z56" s="1332"/>
      <c r="AA56" s="1332"/>
      <c r="AB56" s="1332"/>
      <c r="AC56" s="1332"/>
      <c r="AD56" s="1332"/>
      <c r="AE56" s="1332"/>
      <c r="AF56" s="1332"/>
      <c r="AG56" s="1332"/>
      <c r="AH56" s="1332"/>
      <c r="AI56" s="1332"/>
      <c r="AJ56" s="1332"/>
      <c r="AK56" s="1332"/>
      <c r="AL56" s="1332"/>
      <c r="AM56" s="1332"/>
      <c r="AN56" s="1332"/>
      <c r="AO56" s="789"/>
    </row>
    <row r="57" spans="1:41" s="63" customFormat="1" ht="12.75" x14ac:dyDescent="0.2">
      <c r="A57" s="789"/>
      <c r="Q57" s="800"/>
      <c r="R57" s="800"/>
      <c r="S57" s="800"/>
      <c r="T57" s="800"/>
      <c r="U57" s="800"/>
      <c r="V57" s="1332"/>
      <c r="W57" s="1332"/>
      <c r="X57" s="1332"/>
      <c r="Y57" s="1332"/>
      <c r="Z57" s="1332"/>
      <c r="AA57" s="1332"/>
      <c r="AB57" s="1332"/>
      <c r="AC57" s="1332"/>
      <c r="AD57" s="1332"/>
      <c r="AE57" s="1332"/>
      <c r="AF57" s="1332"/>
      <c r="AG57" s="1332"/>
      <c r="AH57" s="1332"/>
      <c r="AI57" s="1332"/>
      <c r="AJ57" s="1332"/>
      <c r="AK57" s="1332"/>
      <c r="AL57" s="1332"/>
      <c r="AM57" s="1332"/>
      <c r="AN57" s="1332"/>
      <c r="AO57" s="789"/>
    </row>
    <row r="58" spans="1:41" s="63" customFormat="1" ht="12.75" x14ac:dyDescent="0.2">
      <c r="A58" s="789"/>
      <c r="Q58" s="800"/>
      <c r="R58" s="800"/>
      <c r="S58" s="800"/>
      <c r="T58" s="800"/>
      <c r="U58" s="800"/>
      <c r="V58" s="1332"/>
      <c r="W58" s="1332"/>
      <c r="X58" s="1332"/>
      <c r="Y58" s="1332"/>
      <c r="Z58" s="1332"/>
      <c r="AA58" s="1332"/>
      <c r="AB58" s="1332"/>
      <c r="AC58" s="1332"/>
      <c r="AD58" s="1332"/>
      <c r="AE58" s="1332"/>
      <c r="AF58" s="1332"/>
      <c r="AG58" s="1332"/>
      <c r="AH58" s="1332"/>
      <c r="AI58" s="1332"/>
      <c r="AJ58" s="1332"/>
      <c r="AK58" s="1332"/>
      <c r="AL58" s="1332"/>
      <c r="AM58" s="1332"/>
      <c r="AN58" s="1332"/>
      <c r="AO58" s="789"/>
    </row>
    <row r="59" spans="1:41" s="63" customFormat="1" ht="12.75" x14ac:dyDescent="0.2">
      <c r="A59" s="789"/>
      <c r="Q59" s="800"/>
      <c r="R59" s="800"/>
      <c r="S59" s="800"/>
      <c r="T59" s="800"/>
      <c r="U59" s="800"/>
      <c r="V59" s="1332"/>
      <c r="W59" s="1332"/>
      <c r="X59" s="1332"/>
      <c r="Y59" s="1332"/>
      <c r="Z59" s="1332"/>
      <c r="AA59" s="1332"/>
      <c r="AB59" s="1332"/>
      <c r="AC59" s="1332"/>
      <c r="AD59" s="1332"/>
      <c r="AE59" s="1332"/>
      <c r="AF59" s="1332"/>
      <c r="AG59" s="1332"/>
      <c r="AH59" s="1332"/>
      <c r="AI59" s="1332"/>
      <c r="AJ59" s="1332"/>
      <c r="AK59" s="1332"/>
      <c r="AL59" s="1332"/>
      <c r="AM59" s="1332"/>
      <c r="AN59" s="1332"/>
      <c r="AO59" s="789"/>
    </row>
    <row r="60" spans="1:41" s="63" customFormat="1" ht="12.75" x14ac:dyDescent="0.2">
      <c r="A60" s="789"/>
      <c r="Q60" s="800"/>
      <c r="R60" s="800"/>
      <c r="S60" s="800"/>
      <c r="T60" s="800"/>
      <c r="U60" s="800"/>
      <c r="V60" s="1332"/>
      <c r="W60" s="1332"/>
      <c r="X60" s="1332"/>
      <c r="Y60" s="1332"/>
      <c r="Z60" s="1332"/>
      <c r="AA60" s="1332"/>
      <c r="AB60" s="1332"/>
      <c r="AC60" s="1332"/>
      <c r="AD60" s="1332"/>
      <c r="AE60" s="1332"/>
      <c r="AF60" s="1332"/>
      <c r="AG60" s="1332"/>
      <c r="AH60" s="1332"/>
      <c r="AI60" s="1332"/>
      <c r="AJ60" s="1332"/>
      <c r="AK60" s="1332"/>
      <c r="AL60" s="1332"/>
      <c r="AM60" s="1332"/>
      <c r="AN60" s="1332"/>
      <c r="AO60" s="789"/>
    </row>
    <row r="61" spans="1:41" s="63" customFormat="1" ht="12.75" x14ac:dyDescent="0.2">
      <c r="A61" s="789"/>
      <c r="Q61" s="800"/>
      <c r="R61" s="800"/>
      <c r="S61" s="800"/>
      <c r="T61" s="800"/>
      <c r="U61" s="800"/>
      <c r="V61" s="1332"/>
      <c r="W61" s="1332"/>
      <c r="X61" s="1332"/>
      <c r="Y61" s="1332"/>
      <c r="Z61" s="1332"/>
      <c r="AA61" s="1332"/>
      <c r="AB61" s="1332"/>
      <c r="AC61" s="1332"/>
      <c r="AD61" s="1332"/>
      <c r="AE61" s="1332"/>
      <c r="AF61" s="1332"/>
      <c r="AG61" s="1332"/>
      <c r="AH61" s="1332"/>
      <c r="AI61" s="1332"/>
      <c r="AJ61" s="1332"/>
      <c r="AK61" s="1332"/>
      <c r="AL61" s="1332"/>
      <c r="AM61" s="1332"/>
      <c r="AN61" s="1332"/>
      <c r="AO61" s="789"/>
    </row>
    <row r="62" spans="1:41" s="63" customFormat="1" ht="12.75" x14ac:dyDescent="0.2">
      <c r="A62" s="789"/>
      <c r="Q62" s="800"/>
      <c r="R62" s="800"/>
      <c r="S62" s="800"/>
      <c r="T62" s="800"/>
      <c r="U62" s="800"/>
      <c r="V62" s="1332"/>
      <c r="W62" s="1332"/>
      <c r="X62" s="1332"/>
      <c r="Y62" s="1332"/>
      <c r="Z62" s="1332"/>
      <c r="AA62" s="1332"/>
      <c r="AB62" s="1332"/>
      <c r="AC62" s="1332"/>
      <c r="AD62" s="1332"/>
      <c r="AE62" s="1332"/>
      <c r="AF62" s="1332"/>
      <c r="AG62" s="1332"/>
      <c r="AH62" s="1332"/>
      <c r="AI62" s="1332"/>
      <c r="AJ62" s="1332"/>
      <c r="AK62" s="1332"/>
      <c r="AL62" s="1332"/>
      <c r="AM62" s="1332"/>
      <c r="AN62" s="1332"/>
      <c r="AO62" s="789"/>
    </row>
    <row r="63" spans="1:41" s="63" customFormat="1" ht="12.75" x14ac:dyDescent="0.2">
      <c r="A63" s="789"/>
      <c r="Q63" s="800"/>
      <c r="R63" s="800"/>
      <c r="S63" s="800"/>
      <c r="T63" s="800"/>
      <c r="U63" s="800"/>
      <c r="V63" s="1332"/>
      <c r="W63" s="1332"/>
      <c r="X63" s="1332"/>
      <c r="Y63" s="1332"/>
      <c r="Z63" s="1332"/>
      <c r="AA63" s="1332"/>
      <c r="AB63" s="1332"/>
      <c r="AC63" s="1332"/>
      <c r="AD63" s="1332"/>
      <c r="AE63" s="1332"/>
      <c r="AF63" s="1332"/>
      <c r="AG63" s="1332"/>
      <c r="AH63" s="1332"/>
      <c r="AI63" s="1332"/>
      <c r="AJ63" s="1332"/>
      <c r="AK63" s="1332"/>
      <c r="AL63" s="1332"/>
      <c r="AM63" s="1332"/>
      <c r="AN63" s="1332"/>
      <c r="AO63" s="789"/>
    </row>
    <row r="64" spans="1:41" s="63" customFormat="1" ht="12.75" x14ac:dyDescent="0.2">
      <c r="A64" s="789"/>
      <c r="Q64" s="800"/>
      <c r="R64" s="800"/>
      <c r="S64" s="800"/>
      <c r="T64" s="800"/>
      <c r="U64" s="800"/>
      <c r="V64" s="1332"/>
      <c r="W64" s="1332"/>
      <c r="X64" s="1332"/>
      <c r="Y64" s="1332"/>
      <c r="Z64" s="1332"/>
      <c r="AA64" s="1332"/>
      <c r="AB64" s="1332"/>
      <c r="AC64" s="1332"/>
      <c r="AD64" s="1332"/>
      <c r="AE64" s="1332"/>
      <c r="AF64" s="1332"/>
      <c r="AG64" s="1332"/>
      <c r="AH64" s="1332"/>
      <c r="AI64" s="1332"/>
      <c r="AJ64" s="1332"/>
      <c r="AK64" s="1332"/>
      <c r="AL64" s="1332"/>
      <c r="AM64" s="1332"/>
      <c r="AN64" s="1332"/>
      <c r="AO64" s="789"/>
    </row>
    <row r="65" spans="1:41" s="63" customFormat="1" ht="12.75" x14ac:dyDescent="0.2">
      <c r="A65" s="789"/>
      <c r="Q65" s="800"/>
      <c r="R65" s="800"/>
      <c r="S65" s="800"/>
      <c r="T65" s="800"/>
      <c r="U65" s="800"/>
      <c r="V65" s="1332"/>
      <c r="W65" s="1332"/>
      <c r="X65" s="1332"/>
      <c r="Y65" s="1332"/>
      <c r="Z65" s="1332"/>
      <c r="AA65" s="1332"/>
      <c r="AB65" s="1332"/>
      <c r="AC65" s="1332"/>
      <c r="AD65" s="1332"/>
      <c r="AE65" s="1332"/>
      <c r="AF65" s="1332"/>
      <c r="AG65" s="1332"/>
      <c r="AH65" s="1332"/>
      <c r="AI65" s="1332"/>
      <c r="AJ65" s="1332"/>
      <c r="AK65" s="1332"/>
      <c r="AL65" s="1332"/>
      <c r="AM65" s="1332"/>
      <c r="AN65" s="1332"/>
      <c r="AO65" s="789"/>
    </row>
    <row r="66" spans="1:41" s="63" customFormat="1" ht="12.75" x14ac:dyDescent="0.2">
      <c r="A66" s="789"/>
      <c r="Q66" s="800"/>
      <c r="R66" s="800"/>
      <c r="S66" s="800"/>
      <c r="T66" s="800"/>
      <c r="U66" s="800"/>
      <c r="V66" s="1332"/>
      <c r="W66" s="1332"/>
      <c r="X66" s="1332"/>
      <c r="Y66" s="1332"/>
      <c r="Z66" s="1332"/>
      <c r="AA66" s="1332"/>
      <c r="AB66" s="1332"/>
      <c r="AC66" s="1332"/>
      <c r="AD66" s="1332"/>
      <c r="AE66" s="1332"/>
      <c r="AF66" s="1332"/>
      <c r="AG66" s="1332"/>
      <c r="AH66" s="1332"/>
      <c r="AI66" s="1332"/>
      <c r="AJ66" s="1332"/>
      <c r="AK66" s="1332"/>
      <c r="AL66" s="1332"/>
      <c r="AM66" s="1332"/>
      <c r="AN66" s="1332"/>
      <c r="AO66" s="789"/>
    </row>
    <row r="67" spans="1:41" s="63" customFormat="1" ht="12.75" x14ac:dyDescent="0.2">
      <c r="A67" s="789"/>
      <c r="Q67" s="800"/>
      <c r="R67" s="800"/>
      <c r="S67" s="800"/>
      <c r="T67" s="800"/>
      <c r="U67" s="800"/>
      <c r="V67" s="1332"/>
      <c r="W67" s="1332"/>
      <c r="X67" s="1332"/>
      <c r="Y67" s="1332"/>
      <c r="Z67" s="1332"/>
      <c r="AA67" s="1332"/>
      <c r="AB67" s="1332"/>
      <c r="AC67" s="1332"/>
      <c r="AD67" s="1332"/>
      <c r="AE67" s="1332"/>
      <c r="AF67" s="1332"/>
      <c r="AG67" s="1332"/>
      <c r="AH67" s="1332"/>
      <c r="AI67" s="1332"/>
      <c r="AJ67" s="1332"/>
      <c r="AK67" s="1332"/>
      <c r="AL67" s="1332"/>
      <c r="AM67" s="1332"/>
      <c r="AN67" s="1332"/>
      <c r="AO67" s="789"/>
    </row>
    <row r="68" spans="1:41" s="63" customFormat="1" ht="12.75" x14ac:dyDescent="0.2">
      <c r="A68" s="789"/>
      <c r="Q68" s="800"/>
      <c r="R68" s="800"/>
      <c r="S68" s="800"/>
      <c r="T68" s="800"/>
      <c r="U68" s="800"/>
      <c r="V68" s="1332"/>
      <c r="W68" s="1332"/>
      <c r="X68" s="1332"/>
      <c r="Y68" s="1332"/>
      <c r="Z68" s="1332"/>
      <c r="AA68" s="1332"/>
      <c r="AB68" s="1332"/>
      <c r="AC68" s="1332"/>
      <c r="AD68" s="1332"/>
      <c r="AE68" s="1332"/>
      <c r="AF68" s="1332"/>
      <c r="AG68" s="1332"/>
      <c r="AH68" s="1332"/>
      <c r="AI68" s="1332"/>
      <c r="AJ68" s="1332"/>
      <c r="AK68" s="1332"/>
      <c r="AL68" s="1332"/>
      <c r="AM68" s="1332"/>
      <c r="AN68" s="1332"/>
      <c r="AO68" s="789"/>
    </row>
    <row r="69" spans="1:41" s="63" customFormat="1" ht="12.75" x14ac:dyDescent="0.2">
      <c r="A69" s="789"/>
      <c r="Q69" s="800"/>
      <c r="R69" s="800"/>
      <c r="S69" s="800"/>
      <c r="T69" s="800"/>
      <c r="U69" s="800"/>
      <c r="V69" s="1332"/>
      <c r="W69" s="1332"/>
      <c r="X69" s="1332"/>
      <c r="Y69" s="1332"/>
      <c r="Z69" s="1332"/>
      <c r="AA69" s="1332"/>
      <c r="AB69" s="1332"/>
      <c r="AC69" s="1332"/>
      <c r="AD69" s="1332"/>
      <c r="AE69" s="1332"/>
      <c r="AF69" s="1332"/>
      <c r="AG69" s="1332"/>
      <c r="AH69" s="1332"/>
      <c r="AI69" s="1332"/>
      <c r="AJ69" s="1332"/>
      <c r="AK69" s="1332"/>
      <c r="AL69" s="1332"/>
      <c r="AM69" s="1332"/>
      <c r="AN69" s="1332"/>
      <c r="AO69" s="789"/>
    </row>
    <row r="70" spans="1:41" s="63" customFormat="1" ht="12.75" x14ac:dyDescent="0.2">
      <c r="A70" s="789"/>
      <c r="Q70" s="800"/>
      <c r="R70" s="800"/>
      <c r="S70" s="800"/>
      <c r="T70" s="800"/>
      <c r="U70" s="800"/>
      <c r="V70" s="1332"/>
      <c r="W70" s="1332"/>
      <c r="X70" s="1332"/>
      <c r="Y70" s="1332"/>
      <c r="Z70" s="1332"/>
      <c r="AA70" s="1332"/>
      <c r="AB70" s="1332"/>
      <c r="AC70" s="1332"/>
      <c r="AD70" s="1332"/>
      <c r="AE70" s="1332"/>
      <c r="AF70" s="1332"/>
      <c r="AG70" s="1332"/>
      <c r="AH70" s="1332"/>
      <c r="AI70" s="1332"/>
      <c r="AJ70" s="1332"/>
      <c r="AK70" s="1332"/>
      <c r="AL70" s="1332"/>
      <c r="AM70" s="1332"/>
      <c r="AN70" s="1332"/>
      <c r="AO70" s="789"/>
    </row>
    <row r="71" spans="1:41" s="63" customFormat="1" ht="12.75" x14ac:dyDescent="0.2">
      <c r="A71" s="789"/>
      <c r="Q71" s="800"/>
      <c r="R71" s="800"/>
      <c r="S71" s="800"/>
      <c r="T71" s="800"/>
      <c r="U71" s="800"/>
      <c r="V71" s="1332"/>
      <c r="W71" s="1332"/>
      <c r="X71" s="1332"/>
      <c r="Y71" s="1332"/>
      <c r="Z71" s="1332"/>
      <c r="AA71" s="1332"/>
      <c r="AB71" s="1332"/>
      <c r="AC71" s="1332"/>
      <c r="AD71" s="1332"/>
      <c r="AE71" s="1332"/>
      <c r="AF71" s="1332"/>
      <c r="AG71" s="1332"/>
      <c r="AH71" s="1332"/>
      <c r="AI71" s="1332"/>
      <c r="AJ71" s="1332"/>
      <c r="AK71" s="1332"/>
      <c r="AL71" s="1332"/>
      <c r="AM71" s="1332"/>
      <c r="AN71" s="1332"/>
      <c r="AO71" s="789"/>
    </row>
    <row r="72" spans="1:41" s="63" customFormat="1" ht="12.75" x14ac:dyDescent="0.2">
      <c r="A72" s="789"/>
      <c r="Q72" s="800"/>
      <c r="R72" s="800"/>
      <c r="S72" s="800"/>
      <c r="T72" s="800"/>
      <c r="U72" s="800"/>
      <c r="V72" s="1332"/>
      <c r="W72" s="1332"/>
      <c r="X72" s="1332"/>
      <c r="Y72" s="1332"/>
      <c r="Z72" s="1332"/>
      <c r="AA72" s="1332"/>
      <c r="AB72" s="1332"/>
      <c r="AC72" s="1332"/>
      <c r="AD72" s="1332"/>
      <c r="AE72" s="1332"/>
      <c r="AF72" s="1332"/>
      <c r="AG72" s="1332"/>
      <c r="AH72" s="1332"/>
      <c r="AI72" s="1332"/>
      <c r="AJ72" s="1332"/>
      <c r="AK72" s="1332"/>
      <c r="AL72" s="1332"/>
      <c r="AM72" s="1332"/>
      <c r="AN72" s="1332"/>
      <c r="AO72" s="789"/>
    </row>
    <row r="73" spans="1:41" s="63" customFormat="1" ht="12.75" x14ac:dyDescent="0.2">
      <c r="A73" s="789"/>
      <c r="Q73" s="800"/>
      <c r="R73" s="800"/>
      <c r="S73" s="800"/>
      <c r="T73" s="800"/>
      <c r="U73" s="800"/>
      <c r="V73" s="1332"/>
      <c r="W73" s="1332"/>
      <c r="X73" s="1332"/>
      <c r="Y73" s="1332"/>
      <c r="Z73" s="1332"/>
      <c r="AA73" s="1332"/>
      <c r="AB73" s="1332"/>
      <c r="AC73" s="1332"/>
      <c r="AD73" s="1332"/>
      <c r="AE73" s="1332"/>
      <c r="AF73" s="1332"/>
      <c r="AG73" s="1332"/>
      <c r="AH73" s="1332"/>
      <c r="AI73" s="1332"/>
      <c r="AJ73" s="1332"/>
      <c r="AK73" s="1332"/>
      <c r="AL73" s="1332"/>
      <c r="AM73" s="1332"/>
      <c r="AN73" s="1332"/>
      <c r="AO73" s="789"/>
    </row>
    <row r="74" spans="1:41" s="63" customFormat="1" ht="12.75" x14ac:dyDescent="0.2">
      <c r="A74" s="789"/>
      <c r="Q74" s="800"/>
      <c r="R74" s="800"/>
      <c r="S74" s="800"/>
      <c r="T74" s="800"/>
      <c r="U74" s="800"/>
      <c r="V74" s="1332"/>
      <c r="W74" s="1332"/>
      <c r="X74" s="1332"/>
      <c r="Y74" s="1332"/>
      <c r="Z74" s="1332"/>
      <c r="AA74" s="1332"/>
      <c r="AB74" s="1332"/>
      <c r="AC74" s="1332"/>
      <c r="AD74" s="1332"/>
      <c r="AE74" s="1332"/>
      <c r="AF74" s="1332"/>
      <c r="AG74" s="1332"/>
      <c r="AH74" s="1332"/>
      <c r="AI74" s="1332"/>
      <c r="AJ74" s="1332"/>
      <c r="AK74" s="1332"/>
      <c r="AL74" s="1332"/>
      <c r="AM74" s="1332"/>
      <c r="AN74" s="1332"/>
      <c r="AO74" s="789"/>
    </row>
    <row r="75" spans="1:41" s="63" customFormat="1" ht="12.75" x14ac:dyDescent="0.2">
      <c r="A75" s="789"/>
      <c r="Q75" s="800"/>
      <c r="R75" s="800"/>
      <c r="S75" s="800"/>
      <c r="T75" s="800"/>
      <c r="U75" s="800"/>
      <c r="V75" s="1332"/>
      <c r="W75" s="1332"/>
      <c r="X75" s="1332"/>
      <c r="Y75" s="1332"/>
      <c r="Z75" s="1332"/>
      <c r="AA75" s="1332"/>
      <c r="AB75" s="1332"/>
      <c r="AC75" s="1332"/>
      <c r="AD75" s="1332"/>
      <c r="AE75" s="1332"/>
      <c r="AF75" s="1332"/>
      <c r="AG75" s="1332"/>
      <c r="AH75" s="1332"/>
      <c r="AI75" s="1332"/>
      <c r="AJ75" s="1332"/>
      <c r="AK75" s="1332"/>
      <c r="AL75" s="1332"/>
      <c r="AM75" s="1332"/>
      <c r="AN75" s="1332"/>
      <c r="AO75" s="789"/>
    </row>
    <row r="76" spans="1:41" s="63" customFormat="1" ht="12.75" x14ac:dyDescent="0.2">
      <c r="A76" s="789"/>
      <c r="Q76" s="800"/>
      <c r="R76" s="800"/>
      <c r="S76" s="800"/>
      <c r="T76" s="800"/>
      <c r="U76" s="800"/>
      <c r="V76" s="1332"/>
      <c r="W76" s="1332"/>
      <c r="X76" s="1332"/>
      <c r="Y76" s="1332"/>
      <c r="Z76" s="1332"/>
      <c r="AA76" s="1332"/>
      <c r="AB76" s="1332"/>
      <c r="AC76" s="1332"/>
      <c r="AD76" s="1332"/>
      <c r="AE76" s="1332"/>
      <c r="AF76" s="1332"/>
      <c r="AG76" s="1332"/>
      <c r="AH76" s="1332"/>
      <c r="AI76" s="1332"/>
      <c r="AJ76" s="1332"/>
      <c r="AK76" s="1332"/>
      <c r="AL76" s="1332"/>
      <c r="AM76" s="1332"/>
      <c r="AN76" s="1332"/>
      <c r="AO76" s="789"/>
    </row>
    <row r="77" spans="1:41" s="63" customFormat="1" ht="12.75" x14ac:dyDescent="0.2">
      <c r="A77" s="789"/>
      <c r="Q77" s="800"/>
      <c r="R77" s="800"/>
      <c r="S77" s="800"/>
      <c r="T77" s="800"/>
      <c r="U77" s="800"/>
      <c r="V77" s="1332"/>
      <c r="W77" s="1332"/>
      <c r="X77" s="1332"/>
      <c r="Y77" s="1332"/>
      <c r="Z77" s="1332"/>
      <c r="AA77" s="1332"/>
      <c r="AB77" s="1332"/>
      <c r="AC77" s="1332"/>
      <c r="AD77" s="1332"/>
      <c r="AE77" s="1332"/>
      <c r="AF77" s="1332"/>
      <c r="AG77" s="1332"/>
      <c r="AH77" s="1332"/>
      <c r="AI77" s="1332"/>
      <c r="AJ77" s="1332"/>
      <c r="AK77" s="1332"/>
      <c r="AL77" s="1332"/>
      <c r="AM77" s="1332"/>
      <c r="AN77" s="1332"/>
      <c r="AO77" s="789"/>
    </row>
    <row r="78" spans="1:41" s="63" customFormat="1" ht="12.75" x14ac:dyDescent="0.2">
      <c r="A78" s="789"/>
      <c r="Q78" s="800"/>
      <c r="R78" s="800"/>
      <c r="S78" s="800"/>
      <c r="T78" s="800"/>
      <c r="U78" s="800"/>
      <c r="V78" s="1332"/>
      <c r="W78" s="1332"/>
      <c r="X78" s="1332"/>
      <c r="Y78" s="1332"/>
      <c r="Z78" s="1332"/>
      <c r="AA78" s="1332"/>
      <c r="AB78" s="1332"/>
      <c r="AC78" s="1332"/>
      <c r="AD78" s="1332"/>
      <c r="AE78" s="1332"/>
      <c r="AF78" s="1332"/>
      <c r="AG78" s="1332"/>
      <c r="AH78" s="1332"/>
      <c r="AI78" s="1332"/>
      <c r="AJ78" s="1332"/>
      <c r="AK78" s="1332"/>
      <c r="AL78" s="1332"/>
      <c r="AM78" s="1332"/>
      <c r="AN78" s="1332"/>
      <c r="AO78" s="789"/>
    </row>
    <row r="79" spans="1:41" s="63" customFormat="1" ht="12.75" x14ac:dyDescent="0.2">
      <c r="A79" s="789"/>
      <c r="Q79" s="800"/>
      <c r="R79" s="800"/>
      <c r="S79" s="800"/>
      <c r="T79" s="800"/>
      <c r="U79" s="800"/>
      <c r="V79" s="1332"/>
      <c r="W79" s="1332"/>
      <c r="X79" s="1332"/>
      <c r="Y79" s="1332"/>
      <c r="Z79" s="1332"/>
      <c r="AA79" s="1332"/>
      <c r="AB79" s="1332"/>
      <c r="AC79" s="1332"/>
      <c r="AD79" s="1332"/>
      <c r="AE79" s="1332"/>
      <c r="AF79" s="1332"/>
      <c r="AG79" s="1332"/>
      <c r="AH79" s="1332"/>
      <c r="AI79" s="1332"/>
      <c r="AJ79" s="1332"/>
      <c r="AK79" s="1332"/>
      <c r="AL79" s="1332"/>
      <c r="AM79" s="1332"/>
      <c r="AN79" s="1332"/>
      <c r="AO79" s="789"/>
    </row>
    <row r="80" spans="1:41" s="63" customFormat="1" ht="12.75" x14ac:dyDescent="0.2">
      <c r="A80" s="789"/>
      <c r="Q80" s="800"/>
      <c r="R80" s="800"/>
      <c r="S80" s="800"/>
      <c r="T80" s="800"/>
      <c r="U80" s="800"/>
      <c r="V80" s="1332"/>
      <c r="W80" s="1332"/>
      <c r="X80" s="1332"/>
      <c r="Y80" s="1332"/>
      <c r="Z80" s="1332"/>
      <c r="AA80" s="1332"/>
      <c r="AB80" s="1332"/>
      <c r="AC80" s="1332"/>
      <c r="AD80" s="1332"/>
      <c r="AE80" s="1332"/>
      <c r="AF80" s="1332"/>
      <c r="AG80" s="1332"/>
      <c r="AH80" s="1332"/>
      <c r="AI80" s="1332"/>
      <c r="AJ80" s="1332"/>
      <c r="AK80" s="1332"/>
      <c r="AL80" s="1332"/>
      <c r="AM80" s="1332"/>
      <c r="AN80" s="1332"/>
      <c r="AO80" s="789"/>
    </row>
    <row r="81" spans="1:41" s="63" customFormat="1" ht="12.75" x14ac:dyDescent="0.2">
      <c r="A81" s="789"/>
      <c r="Q81" s="800"/>
      <c r="R81" s="800"/>
      <c r="S81" s="800"/>
      <c r="T81" s="800"/>
      <c r="U81" s="800"/>
      <c r="V81" s="1332"/>
      <c r="W81" s="1332"/>
      <c r="X81" s="1332"/>
      <c r="Y81" s="1332"/>
      <c r="Z81" s="1332"/>
      <c r="AA81" s="1332"/>
      <c r="AB81" s="1332"/>
      <c r="AC81" s="1332"/>
      <c r="AD81" s="1332"/>
      <c r="AE81" s="1332"/>
      <c r="AF81" s="1332"/>
      <c r="AG81" s="1332"/>
      <c r="AH81" s="1332"/>
      <c r="AI81" s="1332"/>
      <c r="AJ81" s="1332"/>
      <c r="AK81" s="1332"/>
      <c r="AL81" s="1332"/>
      <c r="AM81" s="1332"/>
      <c r="AN81" s="1332"/>
      <c r="AO81" s="789"/>
    </row>
    <row r="82" spans="1:41" s="63" customFormat="1" ht="12.75" x14ac:dyDescent="0.2">
      <c r="A82" s="789"/>
      <c r="Q82" s="800"/>
      <c r="R82" s="800"/>
      <c r="S82" s="800"/>
      <c r="T82" s="800"/>
      <c r="U82" s="800"/>
      <c r="V82" s="1332"/>
      <c r="W82" s="1332"/>
      <c r="X82" s="1332"/>
      <c r="Y82" s="1332"/>
      <c r="Z82" s="1332"/>
      <c r="AA82" s="1332"/>
      <c r="AB82" s="1332"/>
      <c r="AC82" s="1332"/>
      <c r="AD82" s="1332"/>
      <c r="AE82" s="1332"/>
      <c r="AF82" s="1332"/>
      <c r="AG82" s="1332"/>
      <c r="AH82" s="1332"/>
      <c r="AI82" s="1332"/>
      <c r="AJ82" s="1332"/>
      <c r="AK82" s="1332"/>
      <c r="AL82" s="1332"/>
      <c r="AM82" s="1332"/>
      <c r="AN82" s="1332"/>
      <c r="AO82" s="789"/>
    </row>
    <row r="83" spans="1:41" s="63" customFormat="1" ht="12.75" x14ac:dyDescent="0.2">
      <c r="A83" s="789"/>
      <c r="Q83" s="800"/>
      <c r="R83" s="800"/>
      <c r="S83" s="800"/>
      <c r="T83" s="800"/>
      <c r="U83" s="800"/>
      <c r="V83" s="1332"/>
      <c r="W83" s="1332"/>
      <c r="X83" s="1332"/>
      <c r="Y83" s="1332"/>
      <c r="Z83" s="1332"/>
      <c r="AA83" s="1332"/>
      <c r="AB83" s="1332"/>
      <c r="AC83" s="1332"/>
      <c r="AD83" s="1332"/>
      <c r="AE83" s="1332"/>
      <c r="AF83" s="1332"/>
      <c r="AG83" s="1332"/>
      <c r="AH83" s="1332"/>
      <c r="AI83" s="1332"/>
      <c r="AJ83" s="1332"/>
      <c r="AK83" s="1332"/>
      <c r="AL83" s="1332"/>
      <c r="AM83" s="1332"/>
      <c r="AN83" s="1332"/>
      <c r="AO83" s="789"/>
    </row>
    <row r="84" spans="1:41" s="63" customFormat="1" ht="12.75" x14ac:dyDescent="0.2">
      <c r="A84" s="789"/>
      <c r="Q84" s="800"/>
      <c r="R84" s="800"/>
      <c r="S84" s="800"/>
      <c r="T84" s="800"/>
      <c r="U84" s="800"/>
      <c r="V84" s="1332"/>
      <c r="W84" s="1332"/>
      <c r="X84" s="1332"/>
      <c r="Y84" s="1332"/>
      <c r="Z84" s="1332"/>
      <c r="AA84" s="1332"/>
      <c r="AB84" s="1332"/>
      <c r="AC84" s="1332"/>
      <c r="AD84" s="1332"/>
      <c r="AE84" s="1332"/>
      <c r="AF84" s="1332"/>
      <c r="AG84" s="1332"/>
      <c r="AH84" s="1332"/>
      <c r="AI84" s="1332"/>
      <c r="AJ84" s="1332"/>
      <c r="AK84" s="1332"/>
      <c r="AL84" s="1332"/>
      <c r="AM84" s="1332"/>
      <c r="AN84" s="1332"/>
      <c r="AO84" s="789"/>
    </row>
    <row r="85" spans="1:41" s="63" customFormat="1" ht="12.75" x14ac:dyDescent="0.2">
      <c r="A85" s="789"/>
      <c r="Q85" s="800"/>
      <c r="R85" s="800"/>
      <c r="S85" s="800"/>
      <c r="T85" s="800"/>
      <c r="U85" s="800"/>
      <c r="V85" s="1332"/>
      <c r="W85" s="1332"/>
      <c r="X85" s="1332"/>
      <c r="Y85" s="1332"/>
      <c r="Z85" s="1332"/>
      <c r="AA85" s="1332"/>
      <c r="AB85" s="1332"/>
      <c r="AC85" s="1332"/>
      <c r="AD85" s="1332"/>
      <c r="AE85" s="1332"/>
      <c r="AF85" s="1332"/>
      <c r="AG85" s="1332"/>
      <c r="AH85" s="1332"/>
      <c r="AI85" s="1332"/>
      <c r="AJ85" s="1332"/>
      <c r="AK85" s="1332"/>
      <c r="AL85" s="1332"/>
      <c r="AM85" s="1332"/>
      <c r="AN85" s="1332"/>
      <c r="AO85" s="789"/>
    </row>
    <row r="86" spans="1:41" s="63" customFormat="1" ht="12.75" x14ac:dyDescent="0.2">
      <c r="A86" s="789"/>
      <c r="Q86" s="800"/>
      <c r="R86" s="800"/>
      <c r="S86" s="800"/>
      <c r="T86" s="800"/>
      <c r="U86" s="800"/>
      <c r="V86" s="1332"/>
      <c r="W86" s="1332"/>
      <c r="X86" s="1332"/>
      <c r="Y86" s="1332"/>
      <c r="Z86" s="1332"/>
      <c r="AA86" s="1332"/>
      <c r="AB86" s="1332"/>
      <c r="AC86" s="1332"/>
      <c r="AD86" s="1332"/>
      <c r="AE86" s="1332"/>
      <c r="AF86" s="1332"/>
      <c r="AG86" s="1332"/>
      <c r="AH86" s="1332"/>
      <c r="AI86" s="1332"/>
      <c r="AJ86" s="1332"/>
      <c r="AK86" s="1332"/>
      <c r="AL86" s="1332"/>
      <c r="AM86" s="1332"/>
      <c r="AN86" s="1332"/>
      <c r="AO86" s="789"/>
    </row>
    <row r="87" spans="1:41" s="63" customFormat="1" ht="12.75" x14ac:dyDescent="0.2">
      <c r="A87" s="789"/>
      <c r="Q87" s="800"/>
      <c r="R87" s="800"/>
      <c r="S87" s="800"/>
      <c r="T87" s="800"/>
      <c r="U87" s="800"/>
      <c r="V87" s="1332"/>
      <c r="W87" s="1332"/>
      <c r="X87" s="1332"/>
      <c r="Y87" s="1332"/>
      <c r="Z87" s="1332"/>
      <c r="AA87" s="1332"/>
      <c r="AB87" s="1332"/>
      <c r="AC87" s="1332"/>
      <c r="AD87" s="1332"/>
      <c r="AE87" s="1332"/>
      <c r="AF87" s="1332"/>
      <c r="AG87" s="1332"/>
      <c r="AH87" s="1332"/>
      <c r="AI87" s="1332"/>
      <c r="AJ87" s="1332"/>
      <c r="AK87" s="1332"/>
      <c r="AL87" s="1332"/>
      <c r="AM87" s="1332"/>
      <c r="AN87" s="1332"/>
      <c r="AO87" s="789"/>
    </row>
    <row r="88" spans="1:41" s="63" customFormat="1" ht="12.75" x14ac:dyDescent="0.2">
      <c r="A88" s="789"/>
      <c r="Q88" s="800"/>
      <c r="R88" s="800"/>
      <c r="S88" s="800"/>
      <c r="T88" s="800"/>
      <c r="U88" s="800"/>
      <c r="V88" s="1332"/>
      <c r="W88" s="1332"/>
      <c r="X88" s="1332"/>
      <c r="Y88" s="1332"/>
      <c r="Z88" s="1332"/>
      <c r="AA88" s="1332"/>
      <c r="AB88" s="1332"/>
      <c r="AC88" s="1332"/>
      <c r="AD88" s="1332"/>
      <c r="AE88" s="1332"/>
      <c r="AF88" s="1332"/>
      <c r="AG88" s="1332"/>
      <c r="AH88" s="1332"/>
      <c r="AI88" s="1332"/>
      <c r="AJ88" s="1332"/>
      <c r="AK88" s="1332"/>
      <c r="AL88" s="1332"/>
      <c r="AM88" s="1332"/>
      <c r="AN88" s="1332"/>
      <c r="AO88" s="789"/>
    </row>
    <row r="89" spans="1:41" s="63" customFormat="1" ht="12.75" x14ac:dyDescent="0.2">
      <c r="A89" s="789"/>
      <c r="Q89" s="800"/>
      <c r="R89" s="800"/>
      <c r="S89" s="800"/>
      <c r="T89" s="800"/>
      <c r="U89" s="800"/>
      <c r="V89" s="1332"/>
      <c r="W89" s="1332"/>
      <c r="X89" s="1332"/>
      <c r="Y89" s="1332"/>
      <c r="Z89" s="1332"/>
      <c r="AA89" s="1332"/>
      <c r="AB89" s="1332"/>
      <c r="AC89" s="1332"/>
      <c r="AD89" s="1332"/>
      <c r="AE89" s="1332"/>
      <c r="AF89" s="1332"/>
      <c r="AG89" s="1332"/>
      <c r="AH89" s="1332"/>
      <c r="AI89" s="1332"/>
      <c r="AJ89" s="1332"/>
      <c r="AK89" s="1332"/>
      <c r="AL89" s="1332"/>
      <c r="AM89" s="1332"/>
      <c r="AN89" s="1332"/>
      <c r="AO89" s="789"/>
    </row>
    <row r="90" spans="1:41" s="63" customFormat="1" ht="12.75" x14ac:dyDescent="0.2">
      <c r="A90" s="789"/>
      <c r="Q90" s="800"/>
      <c r="R90" s="800"/>
      <c r="S90" s="800"/>
      <c r="T90" s="800"/>
      <c r="U90" s="800"/>
      <c r="V90" s="1332"/>
      <c r="W90" s="1332"/>
      <c r="X90" s="1332"/>
      <c r="Y90" s="1332"/>
      <c r="Z90" s="1332"/>
      <c r="AA90" s="1332"/>
      <c r="AB90" s="1332"/>
      <c r="AC90" s="1332"/>
      <c r="AD90" s="1332"/>
      <c r="AE90" s="1332"/>
      <c r="AF90" s="1332"/>
      <c r="AG90" s="1332"/>
      <c r="AH90" s="1332"/>
      <c r="AI90" s="1332"/>
      <c r="AJ90" s="1332"/>
      <c r="AK90" s="1332"/>
      <c r="AL90" s="1332"/>
      <c r="AM90" s="1332"/>
      <c r="AN90" s="1332"/>
      <c r="AO90" s="789"/>
    </row>
    <row r="91" spans="1:41" s="63" customFormat="1" ht="12.75" x14ac:dyDescent="0.2">
      <c r="A91" s="789"/>
      <c r="Q91" s="800"/>
      <c r="R91" s="800"/>
      <c r="S91" s="800"/>
      <c r="T91" s="800"/>
      <c r="U91" s="800"/>
      <c r="V91" s="1332"/>
      <c r="W91" s="1332"/>
      <c r="X91" s="1332"/>
      <c r="Y91" s="1332"/>
      <c r="Z91" s="1332"/>
      <c r="AA91" s="1332"/>
      <c r="AB91" s="1332"/>
      <c r="AC91" s="1332"/>
      <c r="AD91" s="1332"/>
      <c r="AE91" s="1332"/>
      <c r="AF91" s="1332"/>
      <c r="AG91" s="1332"/>
      <c r="AH91" s="1332"/>
      <c r="AI91" s="1332"/>
      <c r="AJ91" s="1332"/>
      <c r="AK91" s="1332"/>
      <c r="AL91" s="1332"/>
      <c r="AM91" s="1332"/>
      <c r="AN91" s="1332"/>
      <c r="AO91" s="789"/>
    </row>
    <row r="92" spans="1:41" s="63" customFormat="1" ht="12.75" x14ac:dyDescent="0.2">
      <c r="A92" s="789"/>
      <c r="Q92" s="800"/>
      <c r="R92" s="800"/>
      <c r="S92" s="800"/>
      <c r="T92" s="800"/>
      <c r="U92" s="800"/>
      <c r="V92" s="1332"/>
      <c r="W92" s="1332"/>
      <c r="X92" s="1332"/>
      <c r="Y92" s="1332"/>
      <c r="Z92" s="1332"/>
      <c r="AA92" s="1332"/>
      <c r="AB92" s="1332"/>
      <c r="AC92" s="1332"/>
      <c r="AD92" s="1332"/>
      <c r="AE92" s="1332"/>
      <c r="AF92" s="1332"/>
      <c r="AG92" s="1332"/>
      <c r="AH92" s="1332"/>
      <c r="AI92" s="1332"/>
      <c r="AJ92" s="1332"/>
      <c r="AK92" s="1332"/>
      <c r="AL92" s="1332"/>
      <c r="AM92" s="1332"/>
      <c r="AN92" s="1332"/>
      <c r="AO92" s="789"/>
    </row>
    <row r="93" spans="1:41" s="63" customFormat="1" ht="12.75" x14ac:dyDescent="0.2">
      <c r="A93" s="789"/>
      <c r="Q93" s="800"/>
      <c r="R93" s="800"/>
      <c r="S93" s="800"/>
      <c r="T93" s="800"/>
      <c r="U93" s="800"/>
      <c r="V93" s="1332"/>
      <c r="W93" s="1332"/>
      <c r="X93" s="1332"/>
      <c r="Y93" s="1332"/>
      <c r="Z93" s="1332"/>
      <c r="AA93" s="1332"/>
      <c r="AB93" s="1332"/>
      <c r="AC93" s="1332"/>
      <c r="AD93" s="1332"/>
      <c r="AE93" s="1332"/>
      <c r="AF93" s="1332"/>
      <c r="AG93" s="1332"/>
      <c r="AH93" s="1332"/>
      <c r="AI93" s="1332"/>
      <c r="AJ93" s="1332"/>
      <c r="AK93" s="1332"/>
      <c r="AL93" s="1332"/>
      <c r="AM93" s="1332"/>
      <c r="AN93" s="1332"/>
      <c r="AO93" s="789"/>
    </row>
    <row r="94" spans="1:41" s="63" customFormat="1" ht="12.75" x14ac:dyDescent="0.2">
      <c r="A94" s="789"/>
      <c r="Q94" s="800"/>
      <c r="R94" s="800"/>
      <c r="S94" s="800"/>
      <c r="T94" s="800"/>
      <c r="U94" s="800"/>
      <c r="V94" s="1332"/>
      <c r="W94" s="1332"/>
      <c r="X94" s="1332"/>
      <c r="Y94" s="1332"/>
      <c r="Z94" s="1332"/>
      <c r="AA94" s="1332"/>
      <c r="AB94" s="1332"/>
      <c r="AC94" s="1332"/>
      <c r="AD94" s="1332"/>
      <c r="AE94" s="1332"/>
      <c r="AF94" s="1332"/>
      <c r="AG94" s="1332"/>
      <c r="AH94" s="1332"/>
      <c r="AI94" s="1332"/>
      <c r="AJ94" s="1332"/>
      <c r="AK94" s="1332"/>
      <c r="AL94" s="1332"/>
      <c r="AM94" s="1332"/>
      <c r="AN94" s="1332"/>
      <c r="AO94" s="789"/>
    </row>
    <row r="95" spans="1:41" s="63" customFormat="1" ht="12.75" x14ac:dyDescent="0.2">
      <c r="A95" s="789"/>
      <c r="Q95" s="800"/>
      <c r="R95" s="800"/>
      <c r="S95" s="800"/>
      <c r="T95" s="800"/>
      <c r="U95" s="800"/>
      <c r="V95" s="1332"/>
      <c r="W95" s="1332"/>
      <c r="X95" s="1332"/>
      <c r="Y95" s="1332"/>
      <c r="Z95" s="1332"/>
      <c r="AA95" s="1332"/>
      <c r="AB95" s="1332"/>
      <c r="AC95" s="1332"/>
      <c r="AD95" s="1332"/>
      <c r="AE95" s="1332"/>
      <c r="AF95" s="1332"/>
      <c r="AG95" s="1332"/>
      <c r="AH95" s="1332"/>
      <c r="AI95" s="1332"/>
      <c r="AJ95" s="1332"/>
      <c r="AK95" s="1332"/>
      <c r="AL95" s="1332"/>
      <c r="AM95" s="1332"/>
      <c r="AN95" s="1332"/>
      <c r="AO95" s="789"/>
    </row>
    <row r="96" spans="1:41" s="63" customFormat="1" ht="12.75" x14ac:dyDescent="0.2">
      <c r="A96" s="789"/>
      <c r="Q96" s="800"/>
      <c r="R96" s="800"/>
      <c r="S96" s="800"/>
      <c r="T96" s="800"/>
      <c r="U96" s="800"/>
      <c r="V96" s="1332"/>
      <c r="W96" s="1332"/>
      <c r="X96" s="1332"/>
      <c r="Y96" s="1332"/>
      <c r="Z96" s="1332"/>
      <c r="AA96" s="1332"/>
      <c r="AB96" s="1332"/>
      <c r="AC96" s="1332"/>
      <c r="AD96" s="1332"/>
      <c r="AE96" s="1332"/>
      <c r="AF96" s="1332"/>
      <c r="AG96" s="1332"/>
      <c r="AH96" s="1332"/>
      <c r="AI96" s="1332"/>
      <c r="AJ96" s="1332"/>
      <c r="AK96" s="1332"/>
      <c r="AL96" s="1332"/>
      <c r="AM96" s="1332"/>
      <c r="AN96" s="1332"/>
      <c r="AO96" s="789"/>
    </row>
    <row r="97" spans="1:41" s="63" customFormat="1" ht="12.75" x14ac:dyDescent="0.2">
      <c r="A97" s="789"/>
      <c r="Q97" s="800"/>
      <c r="R97" s="800"/>
      <c r="S97" s="800"/>
      <c r="T97" s="800"/>
      <c r="U97" s="800"/>
      <c r="V97" s="1332"/>
      <c r="W97" s="1332"/>
      <c r="X97" s="1332"/>
      <c r="Y97" s="1332"/>
      <c r="Z97" s="1332"/>
      <c r="AA97" s="1332"/>
      <c r="AB97" s="1332"/>
      <c r="AC97" s="1332"/>
      <c r="AD97" s="1332"/>
      <c r="AE97" s="1332"/>
      <c r="AF97" s="1332"/>
      <c r="AG97" s="1332"/>
      <c r="AH97" s="1332"/>
      <c r="AI97" s="1332"/>
      <c r="AJ97" s="1332"/>
      <c r="AK97" s="1332"/>
      <c r="AL97" s="1332"/>
      <c r="AM97" s="1332"/>
      <c r="AN97" s="1332"/>
      <c r="AO97" s="789"/>
    </row>
    <row r="98" spans="1:41" s="63" customFormat="1" ht="12.75" x14ac:dyDescent="0.2">
      <c r="A98" s="789"/>
      <c r="Q98" s="800"/>
      <c r="R98" s="800"/>
      <c r="S98" s="800"/>
      <c r="T98" s="800"/>
      <c r="U98" s="800"/>
      <c r="V98" s="1332"/>
      <c r="W98" s="1332"/>
      <c r="X98" s="1332"/>
      <c r="Y98" s="1332"/>
      <c r="Z98" s="1332"/>
      <c r="AA98" s="1332"/>
      <c r="AB98" s="1332"/>
      <c r="AC98" s="1332"/>
      <c r="AD98" s="1332"/>
      <c r="AE98" s="1332"/>
      <c r="AF98" s="1332"/>
      <c r="AG98" s="1332"/>
      <c r="AH98" s="1332"/>
      <c r="AI98" s="1332"/>
      <c r="AJ98" s="1332"/>
      <c r="AK98" s="1332"/>
      <c r="AL98" s="1332"/>
      <c r="AM98" s="1332"/>
      <c r="AN98" s="1332"/>
      <c r="AO98" s="789"/>
    </row>
    <row r="99" spans="1:41" s="63" customFormat="1" ht="12.75" x14ac:dyDescent="0.2">
      <c r="A99" s="789"/>
      <c r="Q99" s="800"/>
      <c r="R99" s="800"/>
      <c r="S99" s="800"/>
      <c r="T99" s="800"/>
      <c r="U99" s="800"/>
      <c r="V99" s="1332"/>
      <c r="W99" s="1332"/>
      <c r="X99" s="1332"/>
      <c r="Y99" s="1332"/>
      <c r="Z99" s="1332"/>
      <c r="AA99" s="1332"/>
      <c r="AB99" s="1332"/>
      <c r="AC99" s="1332"/>
      <c r="AD99" s="1332"/>
      <c r="AE99" s="1332"/>
      <c r="AF99" s="1332"/>
      <c r="AG99" s="1332"/>
      <c r="AH99" s="1332"/>
      <c r="AI99" s="1332"/>
      <c r="AJ99" s="1332"/>
      <c r="AK99" s="1332"/>
      <c r="AL99" s="1332"/>
      <c r="AM99" s="1332"/>
      <c r="AN99" s="1332"/>
      <c r="AO99" s="789"/>
    </row>
    <row r="100" spans="1:41" s="63" customFormat="1" ht="12.75" x14ac:dyDescent="0.2">
      <c r="A100" s="789"/>
      <c r="Q100" s="800"/>
      <c r="R100" s="800"/>
      <c r="S100" s="800"/>
      <c r="T100" s="800"/>
      <c r="U100" s="800"/>
      <c r="V100" s="1332"/>
      <c r="W100" s="1332"/>
      <c r="X100" s="1332"/>
      <c r="Y100" s="1332"/>
      <c r="Z100" s="1332"/>
      <c r="AA100" s="1332"/>
      <c r="AB100" s="1332"/>
      <c r="AC100" s="1332"/>
      <c r="AD100" s="1332"/>
      <c r="AE100" s="1332"/>
      <c r="AF100" s="1332"/>
      <c r="AG100" s="1332"/>
      <c r="AH100" s="1332"/>
      <c r="AI100" s="1332"/>
      <c r="AJ100" s="1332"/>
      <c r="AK100" s="1332"/>
      <c r="AL100" s="1332"/>
      <c r="AM100" s="1332"/>
      <c r="AN100" s="1332"/>
      <c r="AO100" s="789"/>
    </row>
  </sheetData>
  <sheetProtection algorithmName="SHA-512" hashValue="pIOLX15eabQy+bvIlGIbWL0Yh5bGet3p3xYGKG++UJbsmti9uy3PguoDHDuRFDVj4/2QMxYGj6GmlAxXLhPgYw==" saltValue="++CysRhYpgAjvU1Btlc4Lg==" spinCount="100000" sheet="1" objects="1" scenarios="1" selectLockedCells="1"/>
  <mergeCells count="13">
    <mergeCell ref="H12:I12"/>
    <mergeCell ref="H14:I14"/>
    <mergeCell ref="D28:E28"/>
    <mergeCell ref="H28:I28"/>
    <mergeCell ref="L28:M28"/>
    <mergeCell ref="L14:M14"/>
    <mergeCell ref="L16:M16"/>
    <mergeCell ref="E14:F14"/>
    <mergeCell ref="H16:I16"/>
    <mergeCell ref="L18:M18"/>
    <mergeCell ref="H26:I26"/>
    <mergeCell ref="H18:I18"/>
    <mergeCell ref="C14:D14"/>
  </mergeCells>
  <dataValidations count="1">
    <dataValidation type="decimal" allowBlank="1" showInputMessage="1" showErrorMessage="1" sqref="J23:J25 J27 J20 J29:J34">
      <formula1>1</formula1>
      <formula2>2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229" r:id="rId4" name="CommandButton2">
          <controlPr defaultSize="0" autoFill="0" autoLine="0" r:id="rId5">
            <anchor moveWithCells="1">
              <from>
                <xdr:col>8</xdr:col>
                <xdr:colOff>762000</xdr:colOff>
                <xdr:row>31</xdr:row>
                <xdr:rowOff>47625</xdr:rowOff>
              </from>
              <to>
                <xdr:col>11</xdr:col>
                <xdr:colOff>266700</xdr:colOff>
                <xdr:row>33</xdr:row>
                <xdr:rowOff>9525</xdr:rowOff>
              </to>
            </anchor>
          </controlPr>
        </control>
      </mc:Choice>
      <mc:Fallback>
        <control shapeId="8229" r:id="rId4" name="CommandButton2"/>
      </mc:Fallback>
    </mc:AlternateContent>
    <mc:AlternateContent xmlns:mc="http://schemas.openxmlformats.org/markup-compatibility/2006">
      <mc:Choice Requires="x14">
        <control shapeId="8216" r:id="rId6" name="CommandButton1">
          <controlPr defaultSize="0" autoFill="0" autoLine="0" r:id="rId7">
            <anchor moveWithCells="1">
              <from>
                <xdr:col>5</xdr:col>
                <xdr:colOff>247650</xdr:colOff>
                <xdr:row>31</xdr:row>
                <xdr:rowOff>76200</xdr:rowOff>
              </from>
              <to>
                <xdr:col>8</xdr:col>
                <xdr:colOff>238125</xdr:colOff>
                <xdr:row>33</xdr:row>
                <xdr:rowOff>38100</xdr:rowOff>
              </to>
            </anchor>
          </controlPr>
        </control>
      </mc:Choice>
      <mc:Fallback>
        <control shapeId="8216" r:id="rId6" name="CommandButton1"/>
      </mc:Fallback>
    </mc:AlternateContent>
    <mc:AlternateContent xmlns:mc="http://schemas.openxmlformats.org/markup-compatibility/2006">
      <mc:Choice Requires="x14">
        <control shapeId="8222" r:id="rId8" name="CommandButton4">
          <controlPr defaultSize="0" autoFill="0" autoLine="0" r:id="rId9">
            <anchor moveWithCells="1">
              <from>
                <xdr:col>1</xdr:col>
                <xdr:colOff>447675</xdr:colOff>
                <xdr:row>20</xdr:row>
                <xdr:rowOff>47625</xdr:rowOff>
              </from>
              <to>
                <xdr:col>4</xdr:col>
                <xdr:colOff>666750</xdr:colOff>
                <xdr:row>21</xdr:row>
                <xdr:rowOff>171450</xdr:rowOff>
              </to>
            </anchor>
          </controlPr>
        </control>
      </mc:Choice>
      <mc:Fallback>
        <control shapeId="8222" r:id="rId8" name="CommandButton4"/>
      </mc:Fallback>
    </mc:AlternateContent>
    <mc:AlternateContent xmlns:mc="http://schemas.openxmlformats.org/markup-compatibility/2006">
      <mc:Choice Requires="x14">
        <control shapeId="8226" r:id="rId10" name="CommandButton6">
          <controlPr defaultSize="0" autoFill="0" autoLine="0" r:id="rId11">
            <anchor moveWithCells="1">
              <from>
                <xdr:col>11</xdr:col>
                <xdr:colOff>609600</xdr:colOff>
                <xdr:row>20</xdr:row>
                <xdr:rowOff>28575</xdr:rowOff>
              </from>
              <to>
                <xdr:col>14</xdr:col>
                <xdr:colOff>200025</xdr:colOff>
                <xdr:row>21</xdr:row>
                <xdr:rowOff>152400</xdr:rowOff>
              </to>
            </anchor>
          </controlPr>
        </control>
      </mc:Choice>
      <mc:Fallback>
        <control shapeId="8226" r:id="rId10" name="CommandButton6"/>
      </mc:Fallback>
    </mc:AlternateContent>
    <mc:AlternateContent xmlns:mc="http://schemas.openxmlformats.org/markup-compatibility/2006">
      <mc:Choice Requires="x14">
        <control shapeId="8227" r:id="rId12" name="CommandButton7">
          <controlPr defaultSize="0" autoFill="0" autoLine="0" r:id="rId13">
            <anchor moveWithCells="1">
              <from>
                <xdr:col>5</xdr:col>
                <xdr:colOff>495300</xdr:colOff>
                <xdr:row>20</xdr:row>
                <xdr:rowOff>38100</xdr:rowOff>
              </from>
              <to>
                <xdr:col>8</xdr:col>
                <xdr:colOff>209550</xdr:colOff>
                <xdr:row>21</xdr:row>
                <xdr:rowOff>161925</xdr:rowOff>
              </to>
            </anchor>
          </controlPr>
        </control>
      </mc:Choice>
      <mc:Fallback>
        <control shapeId="8227" r:id="rId12" name="CommandButton7"/>
      </mc:Fallback>
    </mc:AlternateContent>
    <mc:AlternateContent xmlns:mc="http://schemas.openxmlformats.org/markup-compatibility/2006">
      <mc:Choice Requires="x14">
        <control shapeId="8228" r:id="rId14" name="CommandButton8">
          <controlPr defaultSize="0" autoFill="0" autoLine="0" r:id="rId15">
            <anchor moveWithCells="1">
              <from>
                <xdr:col>8</xdr:col>
                <xdr:colOff>800100</xdr:colOff>
                <xdr:row>20</xdr:row>
                <xdr:rowOff>28575</xdr:rowOff>
              </from>
              <to>
                <xdr:col>11</xdr:col>
                <xdr:colOff>28575</xdr:colOff>
                <xdr:row>21</xdr:row>
                <xdr:rowOff>152400</xdr:rowOff>
              </to>
            </anchor>
          </controlPr>
        </control>
      </mc:Choice>
      <mc:Fallback>
        <control shapeId="8228" r:id="rId14" name="CommandButton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110"/>
  <dimension ref="A1:AV446"/>
  <sheetViews>
    <sheetView showGridLines="0" showRowColHeaders="0" showZeros="0" tabSelected="1" topLeftCell="A31" zoomScale="85" zoomScaleNormal="85" workbookViewId="0"/>
  </sheetViews>
  <sheetFormatPr defaultRowHeight="15" x14ac:dyDescent="0.25"/>
  <cols>
    <col min="1" max="1" width="2" style="96" customWidth="1"/>
    <col min="2" max="2" width="1.7109375" style="17" customWidth="1"/>
    <col min="3" max="3" width="9.140625" style="17" customWidth="1"/>
    <col min="4" max="4" width="12" style="17" customWidth="1"/>
    <col min="5" max="5" width="14.140625" style="17" customWidth="1"/>
    <col min="6" max="6" width="12.140625" style="17" customWidth="1"/>
    <col min="7" max="8" width="15.140625" style="17" customWidth="1"/>
    <col min="9" max="9" width="14.28515625" style="17" customWidth="1"/>
    <col min="10" max="10" width="13.5703125" style="17" customWidth="1"/>
    <col min="11" max="11" width="14.28515625" style="17" customWidth="1"/>
    <col min="12" max="12" width="13.42578125" style="17" customWidth="1"/>
    <col min="13" max="13" width="13.42578125" style="18" customWidth="1"/>
    <col min="14" max="14" width="12.42578125" style="17" customWidth="1"/>
    <col min="15" max="15" width="14.7109375" style="17" customWidth="1"/>
    <col min="16" max="16" width="15.28515625" style="17" customWidth="1"/>
    <col min="17" max="17" width="14" style="17" customWidth="1"/>
    <col min="18" max="18" width="9.140625" style="17" customWidth="1"/>
    <col min="19" max="19" width="2.7109375" style="17" customWidth="1"/>
    <col min="20" max="20" width="2" style="17" customWidth="1"/>
    <col min="21" max="21" width="1" style="17" customWidth="1"/>
    <col min="22" max="44" width="9.140625" style="822"/>
    <col min="45" max="16384" width="9.140625" style="17"/>
  </cols>
  <sheetData>
    <row r="1" spans="1:44" ht="9.75" customHeight="1" thickBot="1" x14ac:dyDescent="0.3"/>
    <row r="2" spans="1:44" s="72" customFormat="1" ht="19.5" customHeight="1" x14ac:dyDescent="0.25">
      <c r="A2" s="97"/>
      <c r="B2" s="184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6"/>
      <c r="N2" s="185"/>
      <c r="O2" s="185"/>
      <c r="P2" s="185"/>
      <c r="Q2" s="185"/>
      <c r="R2" s="185"/>
      <c r="S2" s="185"/>
      <c r="T2" s="187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</row>
    <row r="3" spans="1:44" s="72" customFormat="1" x14ac:dyDescent="0.25">
      <c r="A3" s="178">
        <f ca="1">Параметры!B8</f>
        <v>13</v>
      </c>
      <c r="B3" s="188"/>
      <c r="C3" s="87"/>
      <c r="D3" s="87"/>
      <c r="E3" s="87"/>
      <c r="F3" s="87"/>
      <c r="G3" s="87"/>
      <c r="H3" s="87"/>
      <c r="I3" s="87"/>
      <c r="J3" s="87"/>
      <c r="K3" s="87"/>
      <c r="L3" s="87"/>
      <c r="M3" s="88"/>
      <c r="N3" s="87"/>
      <c r="O3" s="87"/>
      <c r="P3" s="87"/>
      <c r="Q3" s="87"/>
      <c r="R3" s="87"/>
      <c r="S3" s="87"/>
      <c r="T3" s="189"/>
      <c r="U3" s="749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</row>
    <row r="4" spans="1:44" s="72" customFormat="1" x14ac:dyDescent="0.25">
      <c r="A4" s="97"/>
      <c r="B4" s="188"/>
      <c r="C4" s="87"/>
      <c r="D4" s="87"/>
      <c r="E4" s="87"/>
      <c r="F4" s="87"/>
      <c r="G4" s="87"/>
      <c r="H4" s="87"/>
      <c r="I4" s="87"/>
      <c r="J4" s="87"/>
      <c r="K4" s="87"/>
      <c r="L4" s="87"/>
      <c r="M4" s="88"/>
      <c r="N4" s="87"/>
      <c r="O4" s="87"/>
      <c r="P4" s="87"/>
      <c r="Q4" s="446"/>
      <c r="R4" s="87"/>
      <c r="S4" s="87"/>
      <c r="T4" s="189"/>
      <c r="U4" s="749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</row>
    <row r="5" spans="1:44" s="72" customFormat="1" x14ac:dyDescent="0.25">
      <c r="A5" s="97"/>
      <c r="B5" s="188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  <c r="N5" s="87"/>
      <c r="O5" s="87"/>
      <c r="P5" s="87"/>
      <c r="Q5" s="446"/>
      <c r="R5" s="87"/>
      <c r="S5" s="87"/>
      <c r="T5" s="189"/>
      <c r="U5" s="749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</row>
    <row r="6" spans="1:44" s="72" customFormat="1" ht="18" customHeight="1" x14ac:dyDescent="0.25">
      <c r="A6" s="97"/>
      <c r="B6" s="188"/>
      <c r="C6" s="87"/>
      <c r="D6" s="744"/>
      <c r="E6" s="744"/>
      <c r="F6" s="744"/>
      <c r="G6" s="744"/>
      <c r="H6" s="744"/>
      <c r="I6" s="1368" t="str">
        <f xml:space="preserve"> CONCATENATE("Военная пенсия назначена с  ",TEXT('Исходные данные'!J12,"ДД.ММ.ГГГГ"))</f>
        <v>Военная пенсия назначена с  15.08.2008</v>
      </c>
      <c r="J6" s="1362"/>
      <c r="K6" s="1362"/>
      <c r="L6" s="1362"/>
      <c r="M6" s="1376"/>
      <c r="N6" s="744"/>
      <c r="O6" s="1067"/>
      <c r="P6" s="1066"/>
      <c r="Q6" s="446"/>
      <c r="R6" s="87"/>
      <c r="S6" s="87"/>
      <c r="T6" s="189"/>
      <c r="U6" s="749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</row>
    <row r="7" spans="1:44" s="72" customFormat="1" ht="8.1" customHeight="1" x14ac:dyDescent="0.25">
      <c r="A7" s="97"/>
      <c r="B7" s="188"/>
      <c r="C7" s="87"/>
      <c r="D7" s="446"/>
      <c r="E7" s="1068"/>
      <c r="F7" s="446"/>
      <c r="G7" s="446"/>
      <c r="H7" s="446"/>
      <c r="I7" s="446"/>
      <c r="J7" s="446"/>
      <c r="K7" s="446"/>
      <c r="L7" s="446"/>
      <c r="M7" s="1069"/>
      <c r="N7" s="446"/>
      <c r="O7" s="446"/>
      <c r="P7" s="446"/>
      <c r="Q7" s="87"/>
      <c r="R7" s="87"/>
      <c r="S7" s="87"/>
      <c r="T7" s="189"/>
      <c r="U7" s="749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</row>
    <row r="8" spans="1:44" s="72" customFormat="1" ht="18" customHeight="1" x14ac:dyDescent="0.25">
      <c r="A8" s="97"/>
      <c r="B8" s="188"/>
      <c r="C8" s="744"/>
      <c r="D8" s="1104" t="s">
        <v>14</v>
      </c>
      <c r="E8" s="1105"/>
      <c r="F8" s="1375" t="str">
        <f>'Исходные данные'!E14</f>
        <v>Подполковник</v>
      </c>
      <c r="G8" s="1373"/>
      <c r="H8" s="1085" t="s">
        <v>278</v>
      </c>
      <c r="I8" s="1106">
        <f>'Исходные данные'!J14</f>
        <v>22</v>
      </c>
      <c r="J8" s="1085" t="s">
        <v>166</v>
      </c>
      <c r="K8" s="1107">
        <f>'Исходные данные'!J16</f>
        <v>1</v>
      </c>
      <c r="L8" s="1104" t="s">
        <v>38</v>
      </c>
      <c r="M8" s="1108">
        <f>'Исходные данные'!N16</f>
        <v>0.8</v>
      </c>
      <c r="N8" s="1085" t="s">
        <v>165</v>
      </c>
      <c r="O8" s="1107">
        <f>'Исходные данные'!J18</f>
        <v>1</v>
      </c>
      <c r="P8" s="744"/>
      <c r="Q8" s="1067"/>
      <c r="R8" s="1066"/>
      <c r="S8" s="469"/>
      <c r="T8" s="189"/>
      <c r="U8" s="749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</row>
    <row r="9" spans="1:44" s="72" customFormat="1" ht="12" customHeight="1" x14ac:dyDescent="0.25">
      <c r="A9" s="97"/>
      <c r="B9" s="188"/>
      <c r="C9" s="446"/>
      <c r="D9" s="744"/>
      <c r="E9" s="744"/>
      <c r="F9" s="744"/>
      <c r="G9" s="744"/>
      <c r="H9" s="744"/>
      <c r="I9" s="744"/>
      <c r="J9" s="744"/>
      <c r="K9" s="744"/>
      <c r="L9" s="744"/>
      <c r="M9" s="1076"/>
      <c r="N9" s="1074"/>
      <c r="O9" s="1074"/>
      <c r="P9" s="1075"/>
      <c r="Q9" s="446"/>
      <c r="R9" s="446"/>
      <c r="S9" s="87"/>
      <c r="T9" s="189"/>
      <c r="U9" s="749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</row>
    <row r="10" spans="1:44" s="72" customFormat="1" ht="18" customHeight="1" x14ac:dyDescent="0.25">
      <c r="A10" s="97"/>
      <c r="B10" s="188"/>
      <c r="C10" s="744"/>
      <c r="D10" s="1380" t="s">
        <v>282</v>
      </c>
      <c r="E10" s="1381"/>
      <c r="F10" s="1382"/>
      <c r="G10" s="1141">
        <f>VLOOKUP(0,__ВПрасч1,7,0)</f>
        <v>10763.04</v>
      </c>
      <c r="H10" s="744"/>
      <c r="I10" s="744"/>
      <c r="J10" s="744"/>
      <c r="K10" s="744"/>
      <c r="L10" s="744"/>
      <c r="M10" s="744"/>
      <c r="N10" s="446"/>
      <c r="O10" s="446"/>
      <c r="P10" s="446"/>
      <c r="Q10" s="1067"/>
      <c r="R10" s="1067"/>
      <c r="S10" s="469"/>
      <c r="T10" s="189"/>
      <c r="U10" s="749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</row>
    <row r="11" spans="1:44" ht="3.75" customHeight="1" x14ac:dyDescent="0.25">
      <c r="B11" s="188"/>
      <c r="C11" s="744"/>
      <c r="D11" s="744"/>
      <c r="E11" s="744"/>
      <c r="F11" s="744"/>
      <c r="G11" s="744"/>
      <c r="H11" s="744"/>
      <c r="I11" s="744"/>
      <c r="J11" s="744"/>
      <c r="K11" s="744"/>
      <c r="L11" s="744"/>
      <c r="M11" s="1087"/>
      <c r="N11" s="744"/>
      <c r="O11" s="744"/>
      <c r="P11" s="744"/>
      <c r="Q11" s="1067"/>
      <c r="R11" s="1067"/>
      <c r="S11" s="744"/>
      <c r="T11" s="189"/>
      <c r="U11" s="749"/>
    </row>
    <row r="12" spans="1:44" s="72" customFormat="1" ht="18" customHeight="1" x14ac:dyDescent="0.25">
      <c r="A12" s="97"/>
      <c r="B12" s="188"/>
      <c r="C12" s="744"/>
      <c r="D12" s="1377" t="s">
        <v>283</v>
      </c>
      <c r="E12" s="1378"/>
      <c r="F12" s="1379"/>
      <c r="G12" s="1383" t="s">
        <v>279</v>
      </c>
      <c r="H12" s="1384"/>
      <c r="I12" s="1089">
        <f xml:space="preserve"> VLOOKUP(1,__ВПрасч1,7,0)</f>
        <v>42560</v>
      </c>
      <c r="J12" s="1088" t="s">
        <v>1</v>
      </c>
      <c r="K12" s="1090">
        <f ca="1">VLOOKUP(Параметры!$B$7,__Периоды,3,0)</f>
        <v>0.54</v>
      </c>
      <c r="L12" s="1095" t="s">
        <v>280</v>
      </c>
      <c r="M12" s="1089">
        <f ca="1">$I$12*$K$12</f>
        <v>22982.400000000001</v>
      </c>
      <c r="N12" s="744"/>
      <c r="O12" s="744"/>
      <c r="P12" s="744"/>
      <c r="Q12" s="744"/>
      <c r="R12" s="446"/>
      <c r="S12" s="87"/>
      <c r="T12" s="189"/>
      <c r="U12" s="749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</row>
    <row r="13" spans="1:44" s="72" customFormat="1" ht="12.75" customHeight="1" x14ac:dyDescent="0.25">
      <c r="A13" s="97"/>
      <c r="B13" s="188"/>
      <c r="C13" s="446"/>
      <c r="D13" s="446"/>
      <c r="E13" s="1069"/>
      <c r="F13" s="744"/>
      <c r="G13" s="446"/>
      <c r="H13" s="1067"/>
      <c r="I13" s="1067"/>
      <c r="J13" s="446"/>
      <c r="K13" s="446"/>
      <c r="L13" s="446"/>
      <c r="M13" s="1082"/>
      <c r="N13" s="1072"/>
      <c r="O13" s="1073"/>
      <c r="P13" s="1070"/>
      <c r="Q13" s="1071"/>
      <c r="R13" s="1067"/>
      <c r="S13" s="469"/>
      <c r="T13" s="189"/>
      <c r="U13" s="749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</row>
    <row r="14" spans="1:44" s="72" customFormat="1" ht="17.25" customHeight="1" x14ac:dyDescent="0.25">
      <c r="A14" s="97"/>
      <c r="B14" s="188"/>
      <c r="C14" s="744"/>
      <c r="D14" s="744"/>
      <c r="E14" s="744"/>
      <c r="F14" s="744"/>
      <c r="G14" s="744"/>
      <c r="H14" s="744"/>
      <c r="I14" s="1361" t="str">
        <f ca="1" xml:space="preserve">  CONCATENATE("Военная пенсия на ",TEXT(TODAY(),"ДД.ММ.ГГГГ"))</f>
        <v>Военная пенсия на 13.04.2022</v>
      </c>
      <c r="J14" s="1362"/>
      <c r="K14" s="1362"/>
      <c r="L14" s="1362"/>
      <c r="M14" s="1363"/>
      <c r="N14" s="744"/>
      <c r="O14" s="744"/>
      <c r="P14" s="744"/>
      <c r="Q14" s="744"/>
      <c r="R14" s="744"/>
      <c r="S14" s="469"/>
      <c r="T14" s="189"/>
      <c r="U14" s="749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</row>
    <row r="15" spans="1:44" s="72" customFormat="1" ht="3.75" customHeight="1" x14ac:dyDescent="0.25">
      <c r="A15" s="97"/>
      <c r="B15" s="188"/>
      <c r="C15" s="744"/>
      <c r="D15" s="744"/>
      <c r="E15" s="744"/>
      <c r="F15" s="744"/>
      <c r="G15" s="744"/>
      <c r="H15" s="744"/>
      <c r="I15" s="744"/>
      <c r="J15" s="1138"/>
      <c r="K15" s="1139"/>
      <c r="L15" s="1139"/>
      <c r="M15" s="744"/>
      <c r="N15" s="744"/>
      <c r="O15" s="744"/>
      <c r="P15" s="744"/>
      <c r="Q15" s="744"/>
      <c r="R15" s="744"/>
      <c r="S15" s="469"/>
      <c r="T15" s="189"/>
      <c r="U15" s="749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</row>
    <row r="16" spans="1:44" s="72" customFormat="1" ht="17.25" customHeight="1" x14ac:dyDescent="0.25">
      <c r="A16" s="97"/>
      <c r="B16" s="188"/>
      <c r="C16" s="744"/>
      <c r="D16" s="1088" t="s">
        <v>279</v>
      </c>
      <c r="E16" s="1126">
        <f ca="1" xml:space="preserve"> VLOOKUP(Параметры!B8,__ВПрасч1,7,0)</f>
        <v>49313.599999999999</v>
      </c>
      <c r="F16" s="1088" t="s">
        <v>1</v>
      </c>
      <c r="G16" s="1127">
        <f ca="1">VLOOKUP(Параметры!$B$8,__Периоды,3,0)</f>
        <v>0.74</v>
      </c>
      <c r="H16" s="1095" t="s">
        <v>280</v>
      </c>
      <c r="I16" s="1126">
        <f ca="1">$E$16*$G$16</f>
        <v>36492.063999999998</v>
      </c>
      <c r="J16" s="1085" t="s">
        <v>228</v>
      </c>
      <c r="K16" s="1127">
        <f ca="1">VLOOKUP(Параметры!$B$8,__Периоды,10,0)</f>
        <v>8.5999999999999993E-2</v>
      </c>
      <c r="L16" s="1088" t="s">
        <v>239</v>
      </c>
      <c r="M16" s="1126">
        <f ca="1" xml:space="preserve">  ROUND($I$16*$K$16,2)</f>
        <v>3138.32</v>
      </c>
      <c r="N16" s="1088" t="s">
        <v>229</v>
      </c>
      <c r="O16" s="1126">
        <f ca="1" xml:space="preserve"> I16+ M16</f>
        <v>39630.383999999998</v>
      </c>
      <c r="P16" s="1088" t="s">
        <v>281</v>
      </c>
      <c r="Q16" s="1126">
        <f ca="1">(VLOOKUP(Параметры!$B$8,__ВПрасч1,5,0) + VLOOKUP(Параметры!$B$8,__ВПрасч1,6,0)) * 1.4 *'Исходные данные'!$N$18 *G16 *O8 +ROUND((VLOOKUP(Параметры!$B$8,__ВПрасч1,5,0) + VLOOKUP(Параметры!$B$8,__ВПрасч1,6,0)) * 1.4 *'Исходные данные'!$N$18 *G16 *K16*O8,2)</f>
        <v>19815.191999999999</v>
      </c>
      <c r="R16" s="1140"/>
      <c r="S16" s="469"/>
      <c r="T16" s="189"/>
      <c r="U16" s="749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</row>
    <row r="17" spans="1:48" s="73" customFormat="1" ht="10.5" customHeight="1" x14ac:dyDescent="0.25">
      <c r="A17" s="98"/>
      <c r="B17" s="104"/>
      <c r="C17" s="1091"/>
      <c r="D17" s="1091"/>
      <c r="E17" s="1086"/>
      <c r="F17" s="1080"/>
      <c r="G17" s="860"/>
      <c r="H17" s="860"/>
      <c r="I17" s="860"/>
      <c r="J17" s="860"/>
      <c r="K17" s="860"/>
      <c r="L17" s="860"/>
      <c r="M17" s="1078"/>
      <c r="N17" s="1079"/>
      <c r="O17" s="1080"/>
      <c r="P17" s="1081"/>
      <c r="Q17" s="1066"/>
      <c r="R17" s="1066"/>
      <c r="S17" s="471"/>
      <c r="T17" s="815"/>
      <c r="U17" s="750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</row>
    <row r="18" spans="1:48" s="72" customFormat="1" ht="19.5" customHeight="1" x14ac:dyDescent="0.25">
      <c r="A18" s="97"/>
      <c r="B18" s="188"/>
      <c r="C18" s="446"/>
      <c r="D18" s="446"/>
      <c r="E18" s="446"/>
      <c r="F18" s="446"/>
      <c r="G18" s="446"/>
      <c r="H18" s="446"/>
      <c r="I18" s="1368" t="str">
        <f ca="1" xml:space="preserve"> CONCATENATE("Перерасчет военной пенсии с  ",TEXT(VLOOKUP(Параметры!B9,__ВПрасч1,2,0),"ДД.ММ.ГГГГ"))</f>
        <v>Перерасчет военной пенсии с  01.10.2022</v>
      </c>
      <c r="J18" s="1369"/>
      <c r="K18" s="1369"/>
      <c r="L18" s="1369"/>
      <c r="M18" s="1370"/>
      <c r="N18" s="446"/>
      <c r="O18" s="446"/>
      <c r="P18" s="446"/>
      <c r="Q18" s="446"/>
      <c r="R18" s="446"/>
      <c r="S18" s="87"/>
      <c r="T18" s="189"/>
      <c r="U18" s="749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</row>
    <row r="19" spans="1:48" s="72" customFormat="1" ht="3" customHeight="1" x14ac:dyDescent="0.25">
      <c r="A19" s="97"/>
      <c r="B19" s="847"/>
      <c r="C19" s="1366"/>
      <c r="D19" s="1366"/>
      <c r="E19" s="1086"/>
      <c r="F19" s="1092"/>
      <c r="G19" s="1071"/>
      <c r="H19" s="848"/>
      <c r="I19" s="848"/>
      <c r="J19" s="848"/>
      <c r="K19" s="848"/>
      <c r="L19" s="848"/>
      <c r="M19" s="848"/>
      <c r="N19" s="848"/>
      <c r="O19" s="848"/>
      <c r="P19" s="848"/>
      <c r="Q19" s="848"/>
      <c r="R19" s="848"/>
      <c r="S19" s="471"/>
      <c r="T19" s="189"/>
      <c r="U19" s="749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</row>
    <row r="20" spans="1:48" s="72" customFormat="1" ht="18" customHeight="1" x14ac:dyDescent="0.25">
      <c r="A20" s="97"/>
      <c r="B20" s="188"/>
      <c r="C20" s="1066"/>
      <c r="D20" s="446"/>
      <c r="E20" s="1374" t="str">
        <f ca="1">IF(E23&gt;0,CONCATENATE("Индексация ОДС на ",TEXT(E23,"0,00%"))," ")</f>
        <v>Индексация ОДС на 4,00%</v>
      </c>
      <c r="F20" s="1347"/>
      <c r="G20" s="1347"/>
      <c r="H20" s="1346" t="str">
        <f ca="1">IF(G22&gt;G16,CONCATENATE("Изменение КК до ",TEXT(G22,"0,00%"))," ")</f>
        <v>Изменение КК до 77,41%</v>
      </c>
      <c r="I20" s="1347"/>
      <c r="J20" s="1347"/>
      <c r="K20" s="1346" t="str">
        <f ca="1">IF(I23&gt;0,CONCATENATE("Изменение ВПназ на ",TEXT(I23,"0,00%"))," ")</f>
        <v>Изменение ВПназ на 8,79%</v>
      </c>
      <c r="L20" s="1347"/>
      <c r="M20" s="1347"/>
      <c r="N20" s="1346" t="str">
        <f ca="1">IF(O23=0," ",CONCATENATE("Изменение выплат на ",TEXT(O23,"0,00%")))</f>
        <v>Изменение выплат на 0,18%</v>
      </c>
      <c r="O20" s="1347"/>
      <c r="P20" s="1348"/>
      <c r="Q20" s="87"/>
      <c r="R20" s="87"/>
      <c r="S20" s="469"/>
      <c r="T20" s="189"/>
      <c r="U20" s="749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</row>
    <row r="21" spans="1:48" s="72" customFormat="1" ht="6.75" customHeight="1" x14ac:dyDescent="0.25">
      <c r="A21" s="97"/>
      <c r="B21" s="188"/>
      <c r="C21" s="827"/>
      <c r="D21" s="1066"/>
      <c r="E21" s="1083"/>
      <c r="F21" s="1066"/>
      <c r="G21" s="1072"/>
      <c r="H21" s="1077"/>
      <c r="I21" s="1072"/>
      <c r="J21" s="1077"/>
      <c r="K21" s="1072"/>
      <c r="L21" s="1077"/>
      <c r="M21" s="1072"/>
      <c r="N21" s="1077"/>
      <c r="O21" s="1072"/>
      <c r="P21" s="1077"/>
      <c r="Q21" s="1084"/>
      <c r="R21" s="1071"/>
      <c r="S21" s="469"/>
      <c r="T21" s="189"/>
      <c r="U21" s="749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</row>
    <row r="22" spans="1:48" s="72" customFormat="1" ht="18" customHeight="1" x14ac:dyDescent="0.25">
      <c r="A22" s="97"/>
      <c r="B22" s="188"/>
      <c r="C22" s="744"/>
      <c r="D22" s="1088" t="s">
        <v>279</v>
      </c>
      <c r="E22" s="1089">
        <f ca="1" xml:space="preserve"> VLOOKUP(Параметры!B9,__ВПрасч1,7,0)</f>
        <v>51287.040000000001</v>
      </c>
      <c r="F22" s="1088" t="s">
        <v>1</v>
      </c>
      <c r="G22" s="1090">
        <f ca="1">VLOOKUP(Параметры!$B$9,__Периоды,3,0)</f>
        <v>0.77410000000000001</v>
      </c>
      <c r="H22" s="1088" t="s">
        <v>280</v>
      </c>
      <c r="I22" s="1089">
        <f ca="1">$E$22*$G$22</f>
        <v>39701.297663999998</v>
      </c>
      <c r="J22" s="1085" t="s">
        <v>228</v>
      </c>
      <c r="K22" s="1090">
        <f ca="1">VLOOKUP(Параметры!$B$9,__Периоды,10,0)</f>
        <v>0</v>
      </c>
      <c r="L22" s="1088" t="s">
        <v>239</v>
      </c>
      <c r="M22" s="1089">
        <f ca="1">ROUND($I$22*$K$22,2)</f>
        <v>0</v>
      </c>
      <c r="N22" s="1088" t="s">
        <v>229</v>
      </c>
      <c r="O22" s="1089">
        <f ca="1">I22 + M22</f>
        <v>39701.297663999998</v>
      </c>
      <c r="P22" s="1088" t="s">
        <v>281</v>
      </c>
      <c r="Q22" s="1089">
        <f ca="1">(VLOOKUP(Параметры!B9,__ВПрасч1,5,0) + VLOOKUP(Параметры!B9,__ВПрасч1,6,0)) * 1.4 *'Исходные данные'!N18 *G22 *(1+K22)*O8</f>
        <v>19850.648831999999</v>
      </c>
      <c r="R22" s="446"/>
      <c r="S22" s="87"/>
      <c r="T22" s="189"/>
      <c r="U22" s="749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</row>
    <row r="23" spans="1:48" s="72" customFormat="1" ht="9" customHeight="1" x14ac:dyDescent="0.25">
      <c r="A23" s="97"/>
      <c r="B23" s="188"/>
      <c r="C23" s="446"/>
      <c r="D23" s="446"/>
      <c r="E23" s="1143">
        <f ca="1">E22/E16 -1</f>
        <v>4.0018169429934192E-2</v>
      </c>
      <c r="F23" s="446"/>
      <c r="G23" s="1093"/>
      <c r="H23" s="1093"/>
      <c r="I23" s="1093">
        <f ca="1">I22/I16-1</f>
        <v>8.7943331021232529E-2</v>
      </c>
      <c r="J23" s="1093"/>
      <c r="K23" s="1093"/>
      <c r="L23" s="1093"/>
      <c r="M23" s="1094"/>
      <c r="N23" s="1093"/>
      <c r="O23" s="1093">
        <f ca="1" xml:space="preserve"> O22/O16 - 1</f>
        <v>1.7893761513891882E-3</v>
      </c>
      <c r="P23" s="446"/>
      <c r="Q23" s="446"/>
      <c r="R23" s="446"/>
      <c r="S23" s="87"/>
      <c r="T23" s="189"/>
      <c r="U23" s="749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</row>
    <row r="24" spans="1:48" s="72" customFormat="1" ht="18" customHeight="1" x14ac:dyDescent="0.25">
      <c r="A24" s="1036"/>
      <c r="B24" s="606"/>
      <c r="C24" s="469"/>
      <c r="D24" s="1367"/>
      <c r="E24" s="1367"/>
      <c r="F24" s="1364"/>
      <c r="G24" s="1365"/>
      <c r="H24" s="1163"/>
      <c r="I24" s="1371" t="str">
        <f ca="1" xml:space="preserve"> IF(Параметры!$B$90 &lt; 1, CONCATENATE("До изменения военной пенсии осталось  ",Параметры!C90," мес.   ",Параметры!D90," дн."), CONCATENATE("До изменения военной пенсии  осталось   ",Параметры!C90," г.    ",Параметры!C90," мес.   ",Параметры!D90," дн."))</f>
        <v>До изменения военной пенсии осталось  5 мес.   17 дн.</v>
      </c>
      <c r="J24" s="1372"/>
      <c r="K24" s="1372"/>
      <c r="L24" s="1372"/>
      <c r="M24" s="1373"/>
      <c r="N24" s="89"/>
      <c r="O24" s="87"/>
      <c r="P24" s="87"/>
      <c r="Q24" s="87"/>
      <c r="R24" s="864"/>
      <c r="S24" s="469"/>
      <c r="T24" s="513"/>
      <c r="U24" s="745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</row>
    <row r="25" spans="1:48" s="73" customFormat="1" ht="13.5" customHeight="1" x14ac:dyDescent="0.25">
      <c r="A25" s="98"/>
      <c r="B25" s="81"/>
      <c r="C25" s="76"/>
      <c r="D25" s="76"/>
      <c r="E25" s="76"/>
      <c r="F25" s="471"/>
      <c r="G25" s="471"/>
      <c r="H25" s="471"/>
      <c r="I25" s="471"/>
      <c r="J25" s="471"/>
      <c r="K25" s="838"/>
      <c r="L25" s="839"/>
      <c r="M25" s="825"/>
      <c r="N25" s="826"/>
      <c r="O25" s="471"/>
      <c r="P25" s="471"/>
      <c r="Q25" s="471"/>
      <c r="R25" s="471"/>
      <c r="S25" s="471"/>
      <c r="T25" s="815"/>
      <c r="U25" s="750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</row>
    <row r="26" spans="1:48" s="73" customFormat="1" ht="5.25" customHeight="1" x14ac:dyDescent="0.25">
      <c r="A26" s="98"/>
      <c r="B26" s="649"/>
      <c r="C26" s="650"/>
      <c r="D26" s="650"/>
      <c r="E26" s="650"/>
      <c r="F26" s="650"/>
      <c r="G26" s="650"/>
      <c r="H26" s="650"/>
      <c r="I26" s="650"/>
      <c r="J26" s="650"/>
      <c r="K26" s="650"/>
      <c r="L26" s="650"/>
      <c r="M26" s="650"/>
      <c r="N26" s="650"/>
      <c r="O26" s="650"/>
      <c r="P26" s="650"/>
      <c r="Q26" s="650"/>
      <c r="R26" s="650"/>
      <c r="S26" s="650"/>
      <c r="T26" s="652"/>
      <c r="U26" s="750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</row>
    <row r="27" spans="1:48" s="73" customFormat="1" ht="13.5" customHeight="1" x14ac:dyDescent="0.25">
      <c r="A27" s="98"/>
      <c r="B27" s="81"/>
      <c r="C27" s="76"/>
      <c r="D27" s="76"/>
      <c r="E27" s="76"/>
      <c r="F27" s="471"/>
      <c r="G27" s="471"/>
      <c r="H27" s="471"/>
      <c r="I27" s="471"/>
      <c r="J27" s="471"/>
      <c r="K27" s="838"/>
      <c r="L27" s="839"/>
      <c r="M27" s="825"/>
      <c r="N27" s="826"/>
      <c r="O27" s="471"/>
      <c r="P27" s="471"/>
      <c r="Q27" s="471"/>
      <c r="R27" s="471"/>
      <c r="S27" s="471"/>
      <c r="T27" s="815"/>
      <c r="U27" s="750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</row>
    <row r="28" spans="1:48" s="91" customFormat="1" ht="13.5" customHeight="1" x14ac:dyDescent="0.25">
      <c r="A28" s="98"/>
      <c r="B28" s="92"/>
      <c r="C28" s="476"/>
      <c r="D28" s="477" t="s">
        <v>155</v>
      </c>
      <c r="E28" s="478"/>
      <c r="F28" s="479" t="s">
        <v>152</v>
      </c>
      <c r="G28" s="479"/>
      <c r="H28" s="479"/>
      <c r="I28" s="479"/>
      <c r="J28" s="480"/>
      <c r="K28" s="476"/>
      <c r="L28" s="476"/>
      <c r="M28" s="481"/>
      <c r="N28" s="482"/>
      <c r="O28" s="476"/>
      <c r="P28" s="476"/>
      <c r="Q28" s="476"/>
      <c r="R28" s="476"/>
      <c r="S28" s="476"/>
      <c r="T28" s="816"/>
      <c r="U28" s="751"/>
    </row>
    <row r="29" spans="1:48" s="90" customFormat="1" ht="8.25" customHeight="1" thickBot="1" x14ac:dyDescent="0.3">
      <c r="A29" s="179"/>
      <c r="B29" s="95"/>
      <c r="C29" s="484"/>
      <c r="D29" s="484"/>
      <c r="E29" s="485"/>
      <c r="F29" s="485"/>
      <c r="G29" s="484"/>
      <c r="H29" s="484"/>
      <c r="I29" s="484"/>
      <c r="J29" s="486"/>
      <c r="K29" s="487"/>
      <c r="L29" s="487"/>
      <c r="M29" s="488"/>
      <c r="N29" s="489"/>
      <c r="O29" s="487"/>
      <c r="P29" s="487"/>
      <c r="Q29" s="487"/>
      <c r="R29" s="487"/>
      <c r="S29" s="484"/>
      <c r="T29" s="817"/>
      <c r="U29" s="752"/>
    </row>
    <row r="30" spans="1:48" s="93" customFormat="1" ht="13.5" customHeight="1" x14ac:dyDescent="0.25">
      <c r="A30" s="181">
        <f>COUNT(C33:C51)</f>
        <v>18</v>
      </c>
      <c r="B30" s="94"/>
      <c r="C30" s="490" t="s">
        <v>2</v>
      </c>
      <c r="D30" s="490" t="s">
        <v>0</v>
      </c>
      <c r="E30" s="1349" t="s">
        <v>192</v>
      </c>
      <c r="F30" s="1350"/>
      <c r="G30" s="1350"/>
      <c r="H30" s="1354"/>
      <c r="I30" s="490" t="s">
        <v>36</v>
      </c>
      <c r="J30" s="1349" t="s">
        <v>143</v>
      </c>
      <c r="K30" s="1354"/>
      <c r="L30" s="490" t="s">
        <v>31</v>
      </c>
      <c r="M30" s="1349" t="s">
        <v>144</v>
      </c>
      <c r="N30" s="1354"/>
      <c r="O30" s="490" t="s">
        <v>8</v>
      </c>
      <c r="P30" s="490" t="s">
        <v>9</v>
      </c>
      <c r="Q30" s="1349" t="s">
        <v>33</v>
      </c>
      <c r="R30" s="1350"/>
      <c r="S30" s="94"/>
      <c r="T30" s="818"/>
      <c r="U30" s="753"/>
    </row>
    <row r="31" spans="1:48" s="93" customFormat="1" ht="13.5" customHeight="1" x14ac:dyDescent="0.25">
      <c r="A31" s="182">
        <f ca="1">Параметры!B4-Параметры!B7+2</f>
        <v>18</v>
      </c>
      <c r="B31" s="94"/>
      <c r="C31" s="492" t="s">
        <v>15</v>
      </c>
      <c r="D31" s="492" t="s">
        <v>17</v>
      </c>
      <c r="E31" s="493" t="s">
        <v>1</v>
      </c>
      <c r="F31" s="494" t="s">
        <v>70</v>
      </c>
      <c r="G31" s="495" t="s">
        <v>5</v>
      </c>
      <c r="H31" s="496" t="s">
        <v>7</v>
      </c>
      <c r="I31" s="492"/>
      <c r="J31" s="497" t="s">
        <v>16</v>
      </c>
      <c r="K31" s="498" t="s">
        <v>9</v>
      </c>
      <c r="L31" s="492"/>
      <c r="M31" s="497" t="s">
        <v>16</v>
      </c>
      <c r="N31" s="498" t="s">
        <v>9</v>
      </c>
      <c r="O31" s="492"/>
      <c r="P31" s="492" t="s">
        <v>145</v>
      </c>
      <c r="Q31" s="497" t="s">
        <v>16</v>
      </c>
      <c r="R31" s="496" t="s">
        <v>9</v>
      </c>
      <c r="S31" s="94"/>
      <c r="T31" s="818"/>
      <c r="U31" s="753"/>
    </row>
    <row r="32" spans="1:48" s="91" customFormat="1" ht="11.25" customHeight="1" thickBot="1" x14ac:dyDescent="0.3">
      <c r="A32" s="98">
        <f ca="1">IF(A30=A31,0,1)</f>
        <v>0</v>
      </c>
      <c r="B32" s="92"/>
      <c r="C32" s="499"/>
      <c r="D32" s="500"/>
      <c r="E32" s="500"/>
      <c r="F32" s="501"/>
      <c r="G32" s="502"/>
      <c r="H32" s="503"/>
      <c r="I32" s="500"/>
      <c r="J32" s="504"/>
      <c r="K32" s="503"/>
      <c r="L32" s="500"/>
      <c r="M32" s="504"/>
      <c r="N32" s="503"/>
      <c r="O32" s="500"/>
      <c r="P32" s="500"/>
      <c r="Q32" s="504"/>
      <c r="R32" s="811"/>
      <c r="S32" s="92"/>
      <c r="T32" s="816"/>
      <c r="U32" s="751"/>
    </row>
    <row r="33" spans="1:21" s="90" customFormat="1" ht="15" customHeight="1" x14ac:dyDescent="0.25">
      <c r="A33" s="97"/>
      <c r="B33" s="95"/>
      <c r="C33" s="505">
        <v>0</v>
      </c>
      <c r="D33" s="506">
        <v>40908</v>
      </c>
      <c r="E33" s="507"/>
      <c r="F33" s="507"/>
      <c r="G33" s="508">
        <f>HLOOKUP(C33,__ОкладыТР,MATCH('Исходные данные'!$J$14,__СписокТР,0)+5)*'Исходные данные'!$J$16</f>
        <v>4880</v>
      </c>
      <c r="H33" s="518">
        <f>HLOOKUP(C33,__ОкладыВЗ,MATCH('Исходные данные'!$E$14,__СписокВЗ,0)+5)</f>
        <v>3034</v>
      </c>
      <c r="I33" s="509">
        <f>(G33 + H33)*1.7*M8*O8</f>
        <v>10763.04</v>
      </c>
      <c r="J33" s="510"/>
      <c r="K33" s="511"/>
      <c r="L33" s="509">
        <f>I33</f>
        <v>10763.04</v>
      </c>
      <c r="M33" s="876"/>
      <c r="N33" s="511"/>
      <c r="O33" s="879"/>
      <c r="P33" s="507"/>
      <c r="Q33" s="836"/>
      <c r="R33" s="812"/>
      <c r="S33" s="95"/>
      <c r="T33" s="817"/>
      <c r="U33" s="752"/>
    </row>
    <row r="34" spans="1:21" s="90" customFormat="1" ht="15" customHeight="1" x14ac:dyDescent="0.25">
      <c r="A34" s="97"/>
      <c r="B34" s="95"/>
      <c r="C34" s="514">
        <f t="shared" ref="C34:C50" si="0">C33+1</f>
        <v>1</v>
      </c>
      <c r="D34" s="515">
        <f>VLOOKUP(C34,__Периоды,2,0)</f>
        <v>40909</v>
      </c>
      <c r="E34" s="516">
        <f>VLOOKUP(C34,__Периоды,3,0)</f>
        <v>0.54</v>
      </c>
      <c r="F34" s="516">
        <f t="shared" ref="F34:F47" si="1">VLOOKUP(C34,__Периоды,4,0)</f>
        <v>0</v>
      </c>
      <c r="G34" s="517">
        <f>HLOOKUP(C34,__ОкладыТР,MATCH('Исходные данные'!$J$14,__СписокТР,0)+5)*'Исходные данные'!$J$16</f>
        <v>26000</v>
      </c>
      <c r="H34" s="518">
        <f>HLOOKUP(C34,__ОкладыВЗ,MATCH('Исходные данные'!$E$14,__СписокВЗ,0)+5)</f>
        <v>12000</v>
      </c>
      <c r="I34" s="519">
        <f t="shared" ref="I34:I49" si="2">(G34+H34)*1.4*$M$8*$O$8</f>
        <v>42560</v>
      </c>
      <c r="J34" s="875">
        <f t="shared" ref="J34:J47" si="3">I34-I33</f>
        <v>31796.959999999999</v>
      </c>
      <c r="K34" s="520">
        <f t="shared" ref="K34:K47" si="4">J34/I33</f>
        <v>2.954273142160579</v>
      </c>
      <c r="L34" s="519">
        <f t="shared" ref="L34:L45" si="5">I34*E34</f>
        <v>22982.400000000001</v>
      </c>
      <c r="M34" s="877">
        <f t="shared" ref="M34:M47" si="6">L34-L33</f>
        <v>12219.36</v>
      </c>
      <c r="N34" s="520">
        <f t="shared" ref="N34:N47" si="7">M34/L33</f>
        <v>1.1353074967667127</v>
      </c>
      <c r="O34" s="874">
        <f t="shared" ref="O34:O47" si="8">I34-L34</f>
        <v>19577.599999999999</v>
      </c>
      <c r="P34" s="516">
        <f t="shared" ref="P34:P47" si="9">O34/I34</f>
        <v>0.45999999999999996</v>
      </c>
      <c r="Q34" s="840">
        <f t="shared" ref="Q34:Q47" si="10">O34-O33</f>
        <v>19577.599999999999</v>
      </c>
      <c r="R34" s="813">
        <f>Q34/O34</f>
        <v>1</v>
      </c>
      <c r="S34" s="95"/>
      <c r="T34" s="817"/>
      <c r="U34" s="752"/>
    </row>
    <row r="35" spans="1:21" s="90" customFormat="1" ht="15" customHeight="1" x14ac:dyDescent="0.25">
      <c r="A35" s="97"/>
      <c r="B35" s="95"/>
      <c r="C35" s="514">
        <f t="shared" si="0"/>
        <v>2</v>
      </c>
      <c r="D35" s="515">
        <f>VLOOKUP(C35,__Периоды,2,0)</f>
        <v>41275</v>
      </c>
      <c r="E35" s="516">
        <f t="shared" ref="E35:E47" si="11">VLOOKUP(C35,__Периоды,3,0)</f>
        <v>0.56000000000000005</v>
      </c>
      <c r="F35" s="516">
        <f t="shared" si="1"/>
        <v>0</v>
      </c>
      <c r="G35" s="517">
        <f>HLOOKUP(C35,__ОкладыТР,MATCH('Исходные данные'!$J$14,__СписокТР,0)+5)*'Исходные данные'!$J$16</f>
        <v>26000</v>
      </c>
      <c r="H35" s="518">
        <f>HLOOKUP(C35,__ОкладыВЗ,MATCH('Исходные данные'!$E$14,__СписокВЗ,0)+5)</f>
        <v>12000</v>
      </c>
      <c r="I35" s="519">
        <f t="shared" si="2"/>
        <v>42560</v>
      </c>
      <c r="J35" s="875">
        <f t="shared" si="3"/>
        <v>0</v>
      </c>
      <c r="K35" s="520">
        <f t="shared" si="4"/>
        <v>0</v>
      </c>
      <c r="L35" s="519">
        <f t="shared" si="5"/>
        <v>23833.600000000002</v>
      </c>
      <c r="M35" s="877">
        <f t="shared" si="6"/>
        <v>851.20000000000073</v>
      </c>
      <c r="N35" s="520">
        <f t="shared" si="7"/>
        <v>3.703703703703707E-2</v>
      </c>
      <c r="O35" s="874">
        <f t="shared" si="8"/>
        <v>18726.399999999998</v>
      </c>
      <c r="P35" s="516">
        <f t="shared" si="9"/>
        <v>0.43999999999999995</v>
      </c>
      <c r="Q35" s="840">
        <f t="shared" si="10"/>
        <v>-851.20000000000073</v>
      </c>
      <c r="R35" s="813">
        <f xml:space="preserve"> IF(O34 &gt; 0,Q35/O34," ")</f>
        <v>-4.3478260869565258E-2</v>
      </c>
      <c r="S35" s="95"/>
      <c r="T35" s="817"/>
      <c r="U35" s="752"/>
    </row>
    <row r="36" spans="1:21" s="90" customFormat="1" ht="15" customHeight="1" x14ac:dyDescent="0.25">
      <c r="A36" s="97"/>
      <c r="B36" s="95"/>
      <c r="C36" s="514">
        <f t="shared" si="0"/>
        <v>3</v>
      </c>
      <c r="D36" s="515">
        <f t="shared" ref="D36:D47" si="12">VLOOKUP(C36,__Периоды,2,0)</f>
        <v>41548</v>
      </c>
      <c r="E36" s="516">
        <f t="shared" si="11"/>
        <v>0.58050000000000002</v>
      </c>
      <c r="F36" s="516">
        <f t="shared" si="1"/>
        <v>0</v>
      </c>
      <c r="G36" s="517">
        <f>HLOOKUP(C36,__ОкладыТР,MATCH('Исходные данные'!$J$14,__СписокТР,0)+5)*'Исходные данные'!$J$16</f>
        <v>26000</v>
      </c>
      <c r="H36" s="518">
        <f>HLOOKUP(C36,__ОкладыВЗ,MATCH('Исходные данные'!$E$14,__СписокВЗ,0)+5)</f>
        <v>12000</v>
      </c>
      <c r="I36" s="519">
        <f t="shared" si="2"/>
        <v>42560</v>
      </c>
      <c r="J36" s="875">
        <f t="shared" si="3"/>
        <v>0</v>
      </c>
      <c r="K36" s="520">
        <f t="shared" si="4"/>
        <v>0</v>
      </c>
      <c r="L36" s="519">
        <f t="shared" si="5"/>
        <v>24706.080000000002</v>
      </c>
      <c r="M36" s="877">
        <f t="shared" si="6"/>
        <v>872.47999999999956</v>
      </c>
      <c r="N36" s="520">
        <f t="shared" si="7"/>
        <v>3.6607142857142838E-2</v>
      </c>
      <c r="O36" s="874">
        <f t="shared" si="8"/>
        <v>17853.919999999998</v>
      </c>
      <c r="P36" s="516">
        <f t="shared" si="9"/>
        <v>0.41949999999999998</v>
      </c>
      <c r="Q36" s="840">
        <f t="shared" si="10"/>
        <v>-872.47999999999956</v>
      </c>
      <c r="R36" s="813">
        <f t="shared" ref="R36:R49" si="13" xml:space="preserve"> IF(O35 &gt; 0,Q36/O35," ")</f>
        <v>-4.6590909090909072E-2</v>
      </c>
      <c r="S36" s="95"/>
      <c r="T36" s="817"/>
      <c r="U36" s="752"/>
    </row>
    <row r="37" spans="1:21" s="90" customFormat="1" ht="15" customHeight="1" x14ac:dyDescent="0.25">
      <c r="A37" s="97"/>
      <c r="B37" s="95"/>
      <c r="C37" s="514">
        <f t="shared" si="0"/>
        <v>4</v>
      </c>
      <c r="D37" s="515">
        <f t="shared" si="12"/>
        <v>41640</v>
      </c>
      <c r="E37" s="516">
        <f t="shared" si="11"/>
        <v>0.60050000000000003</v>
      </c>
      <c r="F37" s="516">
        <f t="shared" si="1"/>
        <v>0</v>
      </c>
      <c r="G37" s="517">
        <f>HLOOKUP(C37,__ОкладыТР,MATCH('Исходные данные'!$J$14,__СписокТР,0)+5)*'Исходные данные'!$J$16</f>
        <v>26000</v>
      </c>
      <c r="H37" s="518">
        <f>HLOOKUP(C37,__ОкладыВЗ,MATCH('Исходные данные'!$E$14,__СписокВЗ,0)+5)</f>
        <v>12000</v>
      </c>
      <c r="I37" s="519">
        <f t="shared" si="2"/>
        <v>42560</v>
      </c>
      <c r="J37" s="875">
        <f t="shared" si="3"/>
        <v>0</v>
      </c>
      <c r="K37" s="520">
        <f t="shared" si="4"/>
        <v>0</v>
      </c>
      <c r="L37" s="519">
        <f t="shared" si="5"/>
        <v>25557.280000000002</v>
      </c>
      <c r="M37" s="877">
        <f t="shared" si="6"/>
        <v>851.20000000000073</v>
      </c>
      <c r="N37" s="520">
        <f t="shared" si="7"/>
        <v>3.4453057708871693E-2</v>
      </c>
      <c r="O37" s="874">
        <f t="shared" si="8"/>
        <v>17002.719999999998</v>
      </c>
      <c r="P37" s="516">
        <f t="shared" si="9"/>
        <v>0.39949999999999997</v>
      </c>
      <c r="Q37" s="840">
        <f t="shared" si="10"/>
        <v>-851.20000000000073</v>
      </c>
      <c r="R37" s="813">
        <f t="shared" si="13"/>
        <v>-4.7675804529201476E-2</v>
      </c>
      <c r="S37" s="95"/>
      <c r="T37" s="817"/>
      <c r="U37" s="752"/>
    </row>
    <row r="38" spans="1:21" s="90" customFormat="1" ht="15" customHeight="1" x14ac:dyDescent="0.25">
      <c r="A38" s="97"/>
      <c r="B38" s="95"/>
      <c r="C38" s="514">
        <f t="shared" si="0"/>
        <v>5</v>
      </c>
      <c r="D38" s="515">
        <f t="shared" si="12"/>
        <v>41913</v>
      </c>
      <c r="E38" s="516">
        <f t="shared" si="11"/>
        <v>0.62119999999999997</v>
      </c>
      <c r="F38" s="516">
        <f t="shared" si="1"/>
        <v>0</v>
      </c>
      <c r="G38" s="517">
        <f>HLOOKUP(C38,__ОкладыТР,MATCH('Исходные данные'!$J$14,__СписокТР,0)+5)*'Исходные данные'!$J$16</f>
        <v>26000</v>
      </c>
      <c r="H38" s="518">
        <f>HLOOKUP(C38,__ОкладыВЗ,MATCH('Исходные данные'!$E$14,__СписокВЗ,0)+5)</f>
        <v>12000</v>
      </c>
      <c r="I38" s="519">
        <f t="shared" si="2"/>
        <v>42560</v>
      </c>
      <c r="J38" s="875">
        <f t="shared" si="3"/>
        <v>0</v>
      </c>
      <c r="K38" s="520">
        <f t="shared" si="4"/>
        <v>0</v>
      </c>
      <c r="L38" s="519">
        <f t="shared" si="5"/>
        <v>26438.271999999997</v>
      </c>
      <c r="M38" s="877">
        <f t="shared" si="6"/>
        <v>880.99199999999473</v>
      </c>
      <c r="N38" s="520">
        <f t="shared" si="7"/>
        <v>3.4471273938384471E-2</v>
      </c>
      <c r="O38" s="874">
        <f t="shared" si="8"/>
        <v>16121.728000000003</v>
      </c>
      <c r="P38" s="516">
        <f t="shared" si="9"/>
        <v>0.37880000000000008</v>
      </c>
      <c r="Q38" s="840">
        <f t="shared" si="10"/>
        <v>-880.99199999999473</v>
      </c>
      <c r="R38" s="813">
        <f t="shared" si="13"/>
        <v>-5.1814768460575415E-2</v>
      </c>
      <c r="S38" s="95"/>
      <c r="T38" s="817"/>
      <c r="U38" s="752"/>
    </row>
    <row r="39" spans="1:21" s="90" customFormat="1" ht="15" customHeight="1" x14ac:dyDescent="0.25">
      <c r="A39" s="97"/>
      <c r="B39" s="95"/>
      <c r="C39" s="514">
        <f t="shared" si="0"/>
        <v>6</v>
      </c>
      <c r="D39" s="515">
        <f t="shared" si="12"/>
        <v>42278</v>
      </c>
      <c r="E39" s="516">
        <f t="shared" si="11"/>
        <v>0.66779999999999995</v>
      </c>
      <c r="F39" s="516">
        <f t="shared" si="1"/>
        <v>0</v>
      </c>
      <c r="G39" s="517">
        <f>HLOOKUP(C39,__ОкладыТР,MATCH('Исходные данные'!$J$14,__СписокТР,0)+5)*'Исходные данные'!$J$16</f>
        <v>26000</v>
      </c>
      <c r="H39" s="518">
        <f>HLOOKUP(C39,__ОкладыВЗ,MATCH('Исходные данные'!$E$14,__СписокВЗ,0)+5)</f>
        <v>12000</v>
      </c>
      <c r="I39" s="519">
        <f t="shared" si="2"/>
        <v>42560</v>
      </c>
      <c r="J39" s="875">
        <f t="shared" si="3"/>
        <v>0</v>
      </c>
      <c r="K39" s="520">
        <f t="shared" si="4"/>
        <v>0</v>
      </c>
      <c r="L39" s="519">
        <f t="shared" si="5"/>
        <v>28421.567999999999</v>
      </c>
      <c r="M39" s="877">
        <f t="shared" si="6"/>
        <v>1983.2960000000021</v>
      </c>
      <c r="N39" s="520">
        <f t="shared" si="7"/>
        <v>7.5016097875080581E-2</v>
      </c>
      <c r="O39" s="874">
        <f t="shared" si="8"/>
        <v>14138.432000000001</v>
      </c>
      <c r="P39" s="516">
        <f t="shared" si="9"/>
        <v>0.3322</v>
      </c>
      <c r="Q39" s="840">
        <f t="shared" si="10"/>
        <v>-1983.2960000000021</v>
      </c>
      <c r="R39" s="813">
        <f t="shared" si="13"/>
        <v>-0.12302006335797265</v>
      </c>
      <c r="S39" s="95"/>
      <c r="T39" s="817"/>
      <c r="U39" s="752"/>
    </row>
    <row r="40" spans="1:21" s="90" customFormat="1" ht="15" customHeight="1" x14ac:dyDescent="0.25">
      <c r="A40" s="97"/>
      <c r="B40" s="95"/>
      <c r="C40" s="514">
        <f t="shared" si="0"/>
        <v>7</v>
      </c>
      <c r="D40" s="515">
        <f t="shared" si="12"/>
        <v>42401</v>
      </c>
      <c r="E40" s="516">
        <f t="shared" si="11"/>
        <v>0.69450000000000001</v>
      </c>
      <c r="F40" s="516">
        <f t="shared" si="1"/>
        <v>0</v>
      </c>
      <c r="G40" s="517">
        <f>HLOOKUP(C40,__ОкладыТР,MATCH('Исходные данные'!$J$14,__СписокТР,0)+5)*'Исходные данные'!$J$16</f>
        <v>26000</v>
      </c>
      <c r="H40" s="518">
        <f>HLOOKUP(C40,__ОкладыВЗ,MATCH('Исходные данные'!$E$14,__СписокВЗ,0)+5)</f>
        <v>12000</v>
      </c>
      <c r="I40" s="519">
        <f t="shared" si="2"/>
        <v>42560</v>
      </c>
      <c r="J40" s="875">
        <f t="shared" si="3"/>
        <v>0</v>
      </c>
      <c r="K40" s="520">
        <f t="shared" si="4"/>
        <v>0</v>
      </c>
      <c r="L40" s="519">
        <f t="shared" si="5"/>
        <v>29557.920000000002</v>
      </c>
      <c r="M40" s="877">
        <f t="shared" si="6"/>
        <v>1136.3520000000026</v>
      </c>
      <c r="N40" s="520">
        <f t="shared" si="7"/>
        <v>3.9982030548068377E-2</v>
      </c>
      <c r="O40" s="874">
        <f t="shared" si="8"/>
        <v>13002.079999999998</v>
      </c>
      <c r="P40" s="516">
        <f t="shared" si="9"/>
        <v>0.30549999999999994</v>
      </c>
      <c r="Q40" s="840">
        <f t="shared" si="10"/>
        <v>-1136.3520000000026</v>
      </c>
      <c r="R40" s="813">
        <f t="shared" si="13"/>
        <v>-8.0373269114991153E-2</v>
      </c>
      <c r="S40" s="95"/>
      <c r="T40" s="817"/>
      <c r="U40" s="752"/>
    </row>
    <row r="41" spans="1:21" s="90" customFormat="1" ht="15" customHeight="1" x14ac:dyDescent="0.25">
      <c r="A41" s="97"/>
      <c r="B41" s="95"/>
      <c r="C41" s="514">
        <f t="shared" si="0"/>
        <v>8</v>
      </c>
      <c r="D41" s="515">
        <f t="shared" si="12"/>
        <v>42767</v>
      </c>
      <c r="E41" s="516">
        <f t="shared" si="11"/>
        <v>0.72230000000000005</v>
      </c>
      <c r="F41" s="516">
        <f t="shared" si="1"/>
        <v>0</v>
      </c>
      <c r="G41" s="517">
        <f>HLOOKUP(C41,__ОкладыТР,MATCH('Исходные данные'!$J$14,__СписокТР,0)+5)*'Исходные данные'!$J$16</f>
        <v>26000</v>
      </c>
      <c r="H41" s="518">
        <f>HLOOKUP(C41,__ОкладыВЗ,MATCH('Исходные данные'!$E$14,__СписокВЗ,0)+5)</f>
        <v>12000</v>
      </c>
      <c r="I41" s="519">
        <f t="shared" si="2"/>
        <v>42560</v>
      </c>
      <c r="J41" s="875">
        <f t="shared" si="3"/>
        <v>0</v>
      </c>
      <c r="K41" s="520">
        <f t="shared" si="4"/>
        <v>0</v>
      </c>
      <c r="L41" s="519">
        <f t="shared" si="5"/>
        <v>30741.088000000003</v>
      </c>
      <c r="M41" s="877">
        <f t="shared" si="6"/>
        <v>1183.1680000000015</v>
      </c>
      <c r="N41" s="520">
        <f t="shared" si="7"/>
        <v>4.0028797696184351E-2</v>
      </c>
      <c r="O41" s="874">
        <f t="shared" si="8"/>
        <v>11818.911999999997</v>
      </c>
      <c r="P41" s="516">
        <f t="shared" si="9"/>
        <v>0.27769999999999995</v>
      </c>
      <c r="Q41" s="840">
        <f t="shared" si="10"/>
        <v>-1183.1680000000015</v>
      </c>
      <c r="R41" s="813">
        <f t="shared" si="13"/>
        <v>-9.0998363338788996E-2</v>
      </c>
      <c r="S41" s="95"/>
      <c r="T41" s="817"/>
      <c r="U41" s="752"/>
    </row>
    <row r="42" spans="1:21" s="90" customFormat="1" ht="15" customHeight="1" x14ac:dyDescent="0.25">
      <c r="A42" s="97"/>
      <c r="B42" s="95"/>
      <c r="C42" s="514">
        <f t="shared" si="0"/>
        <v>9</v>
      </c>
      <c r="D42" s="515">
        <f t="shared" si="12"/>
        <v>43101</v>
      </c>
      <c r="E42" s="516">
        <f t="shared" si="11"/>
        <v>0.72230000000000005</v>
      </c>
      <c r="F42" s="516">
        <f t="shared" si="1"/>
        <v>0.04</v>
      </c>
      <c r="G42" s="517">
        <f>HLOOKUP(C42,__ОкладыТР,MATCH('Исходные данные'!$J$14,__СписокТР,0)+5)*'Исходные данные'!$J$16</f>
        <v>27040</v>
      </c>
      <c r="H42" s="518">
        <f>HLOOKUP(C42,__ОкладыВЗ,MATCH('Исходные данные'!$E$14,__СписокВЗ,0)+5)</f>
        <v>12480</v>
      </c>
      <c r="I42" s="519">
        <f t="shared" si="2"/>
        <v>44262.400000000001</v>
      </c>
      <c r="J42" s="875">
        <f t="shared" si="3"/>
        <v>1702.4000000000015</v>
      </c>
      <c r="K42" s="520">
        <f t="shared" si="4"/>
        <v>4.0000000000000036E-2</v>
      </c>
      <c r="L42" s="519">
        <f t="shared" si="5"/>
        <v>31970.731520000005</v>
      </c>
      <c r="M42" s="877">
        <f t="shared" si="6"/>
        <v>1229.6435200000014</v>
      </c>
      <c r="N42" s="520">
        <f t="shared" si="7"/>
        <v>4.0000000000000042E-2</v>
      </c>
      <c r="O42" s="874">
        <f t="shared" si="8"/>
        <v>12291.668479999997</v>
      </c>
      <c r="P42" s="516">
        <f t="shared" si="9"/>
        <v>0.27769999999999989</v>
      </c>
      <c r="Q42" s="840">
        <f t="shared" si="10"/>
        <v>472.75648000000001</v>
      </c>
      <c r="R42" s="813">
        <f t="shared" si="13"/>
        <v>4.0000000000000015E-2</v>
      </c>
      <c r="S42" s="95"/>
      <c r="T42" s="817"/>
      <c r="U42" s="752"/>
    </row>
    <row r="43" spans="1:21" s="90" customFormat="1" ht="15" customHeight="1" x14ac:dyDescent="0.25">
      <c r="A43" s="97"/>
      <c r="B43" s="95"/>
      <c r="C43" s="514">
        <f t="shared" si="0"/>
        <v>10</v>
      </c>
      <c r="D43" s="515">
        <f t="shared" si="12"/>
        <v>43739</v>
      </c>
      <c r="E43" s="516">
        <f t="shared" si="11"/>
        <v>0.73680000000000001</v>
      </c>
      <c r="F43" s="516">
        <f t="shared" si="1"/>
        <v>4.2999999999999997E-2</v>
      </c>
      <c r="G43" s="517">
        <f>HLOOKUP(C43,__ОкладыТР,MATCH('Исходные данные'!$J$14,__СписокТР,0)+5)*'Исходные данные'!$J$16</f>
        <v>28203</v>
      </c>
      <c r="H43" s="518">
        <f>HLOOKUP(C43,__ОкладыВЗ,MATCH('Исходные данные'!$E$14,__СписокВЗ,0)+5)</f>
        <v>13017</v>
      </c>
      <c r="I43" s="519">
        <f t="shared" si="2"/>
        <v>46166.399999999994</v>
      </c>
      <c r="J43" s="875">
        <f t="shared" si="3"/>
        <v>1903.9999999999927</v>
      </c>
      <c r="K43" s="520">
        <f t="shared" si="4"/>
        <v>4.3016194331983643E-2</v>
      </c>
      <c r="L43" s="519">
        <f t="shared" si="5"/>
        <v>34015.403519999993</v>
      </c>
      <c r="M43" s="877">
        <f t="shared" si="6"/>
        <v>2044.6719999999877</v>
      </c>
      <c r="N43" s="520">
        <f t="shared" si="7"/>
        <v>6.3954495339617029E-2</v>
      </c>
      <c r="O43" s="874">
        <f t="shared" si="8"/>
        <v>12150.996480000002</v>
      </c>
      <c r="P43" s="516">
        <f t="shared" si="9"/>
        <v>0.26320000000000005</v>
      </c>
      <c r="Q43" s="840">
        <f t="shared" si="10"/>
        <v>-140.67199999999502</v>
      </c>
      <c r="R43" s="813">
        <f t="shared" si="13"/>
        <v>-1.1444500006560139E-2</v>
      </c>
      <c r="S43" s="95"/>
      <c r="T43" s="817"/>
      <c r="U43" s="752"/>
    </row>
    <row r="44" spans="1:21" s="90" customFormat="1" ht="15" customHeight="1" x14ac:dyDescent="0.25">
      <c r="A44" s="97"/>
      <c r="B44" s="95"/>
      <c r="C44" s="514">
        <f t="shared" si="0"/>
        <v>11</v>
      </c>
      <c r="D44" s="515">
        <f t="shared" si="12"/>
        <v>44105</v>
      </c>
      <c r="E44" s="516">
        <f t="shared" si="11"/>
        <v>0.73680000000000001</v>
      </c>
      <c r="F44" s="516">
        <f t="shared" si="1"/>
        <v>0.03</v>
      </c>
      <c r="G44" s="517">
        <f>HLOOKUP(C44,__ОкладыТР,MATCH('Исходные данные'!$J$14,__СписокТР,0)+5)*'Исходные данные'!$J$16</f>
        <v>29050</v>
      </c>
      <c r="H44" s="518">
        <f>HLOOKUP(C44,__ОкладыВЗ,MATCH('Исходные данные'!$E$14,__СписокВЗ,0)+5)</f>
        <v>13408</v>
      </c>
      <c r="I44" s="519">
        <f t="shared" si="2"/>
        <v>47552.959999999999</v>
      </c>
      <c r="J44" s="875">
        <f t="shared" si="3"/>
        <v>1386.5600000000049</v>
      </c>
      <c r="K44" s="520">
        <f t="shared" si="4"/>
        <v>3.0033964095099577E-2</v>
      </c>
      <c r="L44" s="519">
        <f t="shared" si="5"/>
        <v>35037.020927999998</v>
      </c>
      <c r="M44" s="877">
        <f t="shared" si="6"/>
        <v>1021.6174080000055</v>
      </c>
      <c r="N44" s="520">
        <f t="shared" si="7"/>
        <v>3.0033964095099636E-2</v>
      </c>
      <c r="O44" s="874">
        <f t="shared" si="8"/>
        <v>12515.939072000001</v>
      </c>
      <c r="P44" s="516">
        <f t="shared" si="9"/>
        <v>0.26320000000000005</v>
      </c>
      <c r="Q44" s="840">
        <f t="shared" si="10"/>
        <v>364.94259199999942</v>
      </c>
      <c r="R44" s="813">
        <f t="shared" si="13"/>
        <v>3.0033964095099414E-2</v>
      </c>
      <c r="S44" s="95"/>
      <c r="T44" s="817"/>
      <c r="U44" s="752"/>
    </row>
    <row r="45" spans="1:21" s="90" customFormat="1" ht="15" customHeight="1" x14ac:dyDescent="0.25">
      <c r="A45" s="97"/>
      <c r="B45" s="95"/>
      <c r="C45" s="514">
        <f t="shared" si="0"/>
        <v>12</v>
      </c>
      <c r="D45" s="515">
        <f t="shared" si="12"/>
        <v>44470</v>
      </c>
      <c r="E45" s="516">
        <f t="shared" si="11"/>
        <v>0.73680000000000001</v>
      </c>
      <c r="F45" s="516">
        <f t="shared" si="1"/>
        <v>3.6999999999999998E-2</v>
      </c>
      <c r="G45" s="517">
        <f>HLOOKUP(C45,__ОкладыТР,MATCH('Исходные данные'!$J$14,__СписокТР,0)+5)*'Исходные данные'!$J$16</f>
        <v>30125</v>
      </c>
      <c r="H45" s="518">
        <f>HLOOKUP(C45,__ОкладыВЗ,MATCH('Исходные данные'!$E$14,__СписокВЗ,0)+5)</f>
        <v>13905</v>
      </c>
      <c r="I45" s="519">
        <f t="shared" si="2"/>
        <v>49313.599999999999</v>
      </c>
      <c r="J45" s="875">
        <f t="shared" si="3"/>
        <v>1760.6399999999994</v>
      </c>
      <c r="K45" s="520">
        <f t="shared" si="4"/>
        <v>3.7024824532479142E-2</v>
      </c>
      <c r="L45" s="519">
        <f t="shared" si="5"/>
        <v>36334.260479999997</v>
      </c>
      <c r="M45" s="877">
        <f t="shared" si="6"/>
        <v>1297.2395519999991</v>
      </c>
      <c r="N45" s="520">
        <f t="shared" si="7"/>
        <v>3.7024824532479135E-2</v>
      </c>
      <c r="O45" s="874">
        <f t="shared" si="8"/>
        <v>12979.339520000001</v>
      </c>
      <c r="P45" s="516">
        <f t="shared" si="9"/>
        <v>0.26320000000000005</v>
      </c>
      <c r="Q45" s="840">
        <f t="shared" si="10"/>
        <v>463.40044800000032</v>
      </c>
      <c r="R45" s="813">
        <f t="shared" si="13"/>
        <v>3.7024824532479177E-2</v>
      </c>
      <c r="S45" s="95"/>
      <c r="T45" s="817"/>
      <c r="U45" s="752"/>
    </row>
    <row r="46" spans="1:21" s="90" customFormat="1" ht="15" customHeight="1" x14ac:dyDescent="0.25">
      <c r="A46" s="97"/>
      <c r="B46" s="95"/>
      <c r="C46" s="514">
        <f t="shared" si="0"/>
        <v>13</v>
      </c>
      <c r="D46" s="515">
        <f t="shared" si="12"/>
        <v>44562</v>
      </c>
      <c r="E46" s="516">
        <f t="shared" si="11"/>
        <v>0.74</v>
      </c>
      <c r="F46" s="516">
        <f t="shared" si="1"/>
        <v>0</v>
      </c>
      <c r="G46" s="517">
        <f>HLOOKUP(C46,__ОкладыТР,MATCH('Исходные данные'!$J$14,__СписокТР,0)+5)*'Исходные данные'!$J$16</f>
        <v>30125</v>
      </c>
      <c r="H46" s="518">
        <f>HLOOKUP(C46,__ОкладыВЗ,MATCH('Исходные данные'!$E$14,__СписокВЗ,0)+5)</f>
        <v>13905</v>
      </c>
      <c r="I46" s="519">
        <f t="shared" si="2"/>
        <v>49313.599999999999</v>
      </c>
      <c r="J46" s="875">
        <f t="shared" si="3"/>
        <v>0</v>
      </c>
      <c r="K46" s="520">
        <f t="shared" si="4"/>
        <v>0</v>
      </c>
      <c r="L46" s="519">
        <f t="shared" ref="L46:L49" si="14">I46*E46</f>
        <v>36492.063999999998</v>
      </c>
      <c r="M46" s="877">
        <f t="shared" si="6"/>
        <v>157.8035200000013</v>
      </c>
      <c r="N46" s="520">
        <f t="shared" si="7"/>
        <v>4.3431053203040531E-3</v>
      </c>
      <c r="O46" s="874">
        <f t="shared" si="8"/>
        <v>12821.536</v>
      </c>
      <c r="P46" s="516">
        <f t="shared" si="9"/>
        <v>0.26</v>
      </c>
      <c r="Q46" s="840">
        <f t="shared" si="10"/>
        <v>-157.8035200000013</v>
      </c>
      <c r="R46" s="813">
        <f t="shared" si="13"/>
        <v>-1.2158054711246299E-2</v>
      </c>
      <c r="S46" s="837"/>
      <c r="T46" s="817"/>
      <c r="U46" s="752"/>
    </row>
    <row r="47" spans="1:21" s="90" customFormat="1" ht="15" customHeight="1" x14ac:dyDescent="0.25">
      <c r="A47" s="97"/>
      <c r="B47" s="95"/>
      <c r="C47" s="514">
        <f t="shared" si="0"/>
        <v>14</v>
      </c>
      <c r="D47" s="515">
        <f t="shared" si="12"/>
        <v>44835</v>
      </c>
      <c r="E47" s="516">
        <f t="shared" si="11"/>
        <v>0.77410000000000001</v>
      </c>
      <c r="F47" s="516">
        <f t="shared" si="1"/>
        <v>0.04</v>
      </c>
      <c r="G47" s="517">
        <f>HLOOKUP(C47,__ОкладыТР,MATCH('Исходные данные'!$J$14,__СписокТР,0)+5)*'Исходные данные'!$J$16</f>
        <v>31330</v>
      </c>
      <c r="H47" s="518">
        <f>HLOOKUP(C47,__ОкладыВЗ,MATCH('Исходные данные'!$E$14,__СписокВЗ,0)+5)</f>
        <v>14462</v>
      </c>
      <c r="I47" s="519">
        <f t="shared" si="2"/>
        <v>51287.040000000001</v>
      </c>
      <c r="J47" s="875">
        <f t="shared" si="3"/>
        <v>1973.4400000000023</v>
      </c>
      <c r="K47" s="520">
        <f t="shared" si="4"/>
        <v>4.0018169429934185E-2</v>
      </c>
      <c r="L47" s="519">
        <f t="shared" si="14"/>
        <v>39701.297663999998</v>
      </c>
      <c r="M47" s="877">
        <f t="shared" si="6"/>
        <v>3209.2336639999994</v>
      </c>
      <c r="N47" s="520">
        <f t="shared" si="7"/>
        <v>8.7943331021232446E-2</v>
      </c>
      <c r="O47" s="874">
        <f t="shared" si="8"/>
        <v>11585.742336000003</v>
      </c>
      <c r="P47" s="516">
        <f t="shared" si="9"/>
        <v>0.22590000000000005</v>
      </c>
      <c r="Q47" s="840">
        <f t="shared" si="10"/>
        <v>-1235.7936639999971</v>
      </c>
      <c r="R47" s="813">
        <f t="shared" si="13"/>
        <v>-9.6384213560683926E-2</v>
      </c>
      <c r="S47" s="837"/>
      <c r="T47" s="817"/>
      <c r="U47" s="752"/>
    </row>
    <row r="48" spans="1:21" s="90" customFormat="1" ht="15" customHeight="1" x14ac:dyDescent="0.25">
      <c r="A48" s="97"/>
      <c r="B48" s="95"/>
      <c r="C48" s="514">
        <f t="shared" si="0"/>
        <v>15</v>
      </c>
      <c r="D48" s="515">
        <f t="shared" ref="D48:D49" si="15">VLOOKUP(C48,__Периоды,2,0)</f>
        <v>45200</v>
      </c>
      <c r="E48" s="516">
        <f t="shared" ref="E48:E49" si="16">VLOOKUP(C48,__Периоды,3,0)</f>
        <v>0.77410000000000001</v>
      </c>
      <c r="F48" s="516">
        <f t="shared" ref="F48:F49" si="17">VLOOKUP(C48,__Периоды,4,0)</f>
        <v>0.04</v>
      </c>
      <c r="G48" s="517">
        <f>HLOOKUP(C48,__ОкладыТР,MATCH('Исходные данные'!$J$14,__СписокТР,0)+5)*'Исходные данные'!$J$16</f>
        <v>32584</v>
      </c>
      <c r="H48" s="518">
        <f>HLOOKUP(C48,__ОкладыВЗ,MATCH('Исходные данные'!$E$14,__СписокВЗ,0)+5)</f>
        <v>15041</v>
      </c>
      <c r="I48" s="519">
        <f t="shared" si="2"/>
        <v>53340</v>
      </c>
      <c r="J48" s="875">
        <f t="shared" ref="J48:J49" si="18">I48-I47</f>
        <v>2052.9599999999991</v>
      </c>
      <c r="K48" s="520">
        <f t="shared" ref="K48:K49" si="19">J48/I47</f>
        <v>4.0028825995807107E-2</v>
      </c>
      <c r="L48" s="519">
        <f t="shared" si="14"/>
        <v>41290.493999999999</v>
      </c>
      <c r="M48" s="877">
        <f t="shared" ref="M48:M49" si="20">L48-L47</f>
        <v>1589.1963360000009</v>
      </c>
      <c r="N48" s="520">
        <f t="shared" ref="N48:N49" si="21">M48/L47</f>
        <v>4.0028825995807149E-2</v>
      </c>
      <c r="O48" s="874">
        <f t="shared" ref="O48:O49" si="22">I48-L48</f>
        <v>12049.506000000001</v>
      </c>
      <c r="P48" s="516">
        <f t="shared" ref="P48:P49" si="23">O48/I48</f>
        <v>0.22590000000000002</v>
      </c>
      <c r="Q48" s="840">
        <f t="shared" ref="Q48:Q49" si="24">O48-O47</f>
        <v>463.76366399999824</v>
      </c>
      <c r="R48" s="813">
        <f t="shared" si="13"/>
        <v>4.0028825995806969E-2</v>
      </c>
      <c r="S48" s="837"/>
      <c r="T48" s="817"/>
      <c r="U48" s="752"/>
    </row>
    <row r="49" spans="1:21" s="90" customFormat="1" ht="15" customHeight="1" x14ac:dyDescent="0.25">
      <c r="A49" s="97"/>
      <c r="B49" s="95"/>
      <c r="C49" s="514">
        <f t="shared" si="0"/>
        <v>16</v>
      </c>
      <c r="D49" s="515">
        <f t="shared" si="15"/>
        <v>45292</v>
      </c>
      <c r="E49" s="516">
        <f t="shared" si="16"/>
        <v>0.78</v>
      </c>
      <c r="F49" s="516" t="str">
        <f t="shared" si="17"/>
        <v/>
      </c>
      <c r="G49" s="517">
        <f>HLOOKUP(C49,__ОкладыТР,MATCH('Исходные данные'!$J$14,__СписокТР,0)+5)*'Исходные данные'!$J$16</f>
        <v>32584</v>
      </c>
      <c r="H49" s="518">
        <f>HLOOKUP(C49,__ОкладыВЗ,MATCH('Исходные данные'!$E$14,__СписокВЗ,0)+5)</f>
        <v>15041</v>
      </c>
      <c r="I49" s="519">
        <f t="shared" si="2"/>
        <v>53340</v>
      </c>
      <c r="J49" s="875">
        <f t="shared" si="18"/>
        <v>0</v>
      </c>
      <c r="K49" s="520">
        <f t="shared" si="19"/>
        <v>0</v>
      </c>
      <c r="L49" s="519">
        <f t="shared" si="14"/>
        <v>41605.200000000004</v>
      </c>
      <c r="M49" s="877">
        <f t="shared" si="20"/>
        <v>314.70600000000559</v>
      </c>
      <c r="N49" s="520">
        <f t="shared" si="21"/>
        <v>7.6217542953108189E-3</v>
      </c>
      <c r="O49" s="874">
        <f t="shared" si="22"/>
        <v>11734.799999999996</v>
      </c>
      <c r="P49" s="516">
        <f t="shared" si="23"/>
        <v>0.21999999999999992</v>
      </c>
      <c r="Q49" s="840">
        <f t="shared" si="24"/>
        <v>-314.70600000000559</v>
      </c>
      <c r="R49" s="813">
        <f t="shared" si="13"/>
        <v>-2.6117751217353272E-2</v>
      </c>
      <c r="S49" s="837"/>
      <c r="T49" s="817"/>
      <c r="U49" s="752"/>
    </row>
    <row r="50" spans="1:21" s="90" customFormat="1" ht="15" customHeight="1" x14ac:dyDescent="0.25">
      <c r="A50" s="97"/>
      <c r="B50" s="95"/>
      <c r="C50" s="514">
        <f t="shared" si="0"/>
        <v>17</v>
      </c>
      <c r="D50" s="515">
        <f t="shared" ref="D50" si="25">VLOOKUP(C50,__Периоды,2,0)</f>
        <v>45566</v>
      </c>
      <c r="E50" s="516">
        <f t="shared" ref="E50" si="26">VLOOKUP(C50,__Периоды,3,0)</f>
        <v>0.78</v>
      </c>
      <c r="F50" s="516">
        <f t="shared" ref="F50" si="27">VLOOKUP(C50,__Периоды,4,0)</f>
        <v>0.04</v>
      </c>
      <c r="G50" s="517">
        <f>HLOOKUP(C50,__ОкладыТР,MATCH('Исходные данные'!$J$14,__СписокТР,0)+5)*'Исходные данные'!$J$16</f>
        <v>33888</v>
      </c>
      <c r="H50" s="518">
        <f>HLOOKUP(C50,__ОкладыВЗ,MATCH('Исходные данные'!$E$14,__СписокВЗ,0)+5)</f>
        <v>15643</v>
      </c>
      <c r="I50" s="519">
        <f t="shared" ref="I50" si="28">(G50+H50)*1.4*$M$8*$O$8</f>
        <v>55474.720000000001</v>
      </c>
      <c r="J50" s="875">
        <f t="shared" ref="J50" si="29">I50-I49</f>
        <v>2134.7200000000012</v>
      </c>
      <c r="K50" s="520">
        <f t="shared" ref="K50" si="30">J50/I49</f>
        <v>4.0020997375328105E-2</v>
      </c>
      <c r="L50" s="519">
        <f t="shared" ref="L50" si="31">I50*E50</f>
        <v>43270.281600000002</v>
      </c>
      <c r="M50" s="877">
        <f t="shared" ref="M50" si="32">L50-L49</f>
        <v>1665.0815999999977</v>
      </c>
      <c r="N50" s="520">
        <f t="shared" ref="N50" si="33">M50/L49</f>
        <v>4.0020997375328021E-2</v>
      </c>
      <c r="O50" s="874">
        <f t="shared" ref="O50" si="34">I50-L50</f>
        <v>12204.438399999999</v>
      </c>
      <c r="P50" s="516">
        <f t="shared" ref="P50" si="35">O50/I50</f>
        <v>0.21999999999999997</v>
      </c>
      <c r="Q50" s="840">
        <f t="shared" ref="Q50" si="36">O50-O49</f>
        <v>469.63840000000346</v>
      </c>
      <c r="R50" s="813">
        <f t="shared" ref="R50" si="37" xml:space="preserve"> IF(O49 &gt; 0,Q50/O49," ")</f>
        <v>4.0020997375328396E-2</v>
      </c>
      <c r="S50" s="837"/>
      <c r="T50" s="817"/>
      <c r="U50" s="752"/>
    </row>
    <row r="51" spans="1:21" s="90" customFormat="1" ht="15" customHeight="1" thickBot="1" x14ac:dyDescent="0.3">
      <c r="A51" s="97"/>
      <c r="B51" s="95"/>
      <c r="C51" s="523"/>
      <c r="D51" s="524"/>
      <c r="E51" s="525"/>
      <c r="F51" s="525"/>
      <c r="G51" s="526"/>
      <c r="H51" s="527"/>
      <c r="I51" s="528"/>
      <c r="J51" s="529"/>
      <c r="K51" s="530"/>
      <c r="L51" s="528"/>
      <c r="M51" s="878"/>
      <c r="N51" s="530"/>
      <c r="O51" s="880"/>
      <c r="P51" s="525"/>
      <c r="Q51" s="841"/>
      <c r="R51" s="814"/>
      <c r="S51" s="837"/>
      <c r="T51" s="817"/>
      <c r="U51" s="752"/>
    </row>
    <row r="52" spans="1:21" s="90" customFormat="1" ht="13.5" customHeight="1" x14ac:dyDescent="0.25">
      <c r="A52" s="97"/>
      <c r="B52" s="95"/>
      <c r="C52" s="487"/>
      <c r="D52" s="531"/>
      <c r="E52" s="532"/>
      <c r="F52" s="532"/>
      <c r="G52" s="487"/>
      <c r="H52" s="487"/>
      <c r="I52" s="487"/>
      <c r="J52" s="486"/>
      <c r="K52" s="487"/>
      <c r="L52" s="487"/>
      <c r="M52" s="488"/>
      <c r="N52" s="489"/>
      <c r="O52" s="487"/>
      <c r="P52" s="487"/>
      <c r="Q52" s="487"/>
      <c r="R52" s="487"/>
      <c r="S52" s="484"/>
      <c r="T52" s="817"/>
      <c r="U52" s="752"/>
    </row>
    <row r="53" spans="1:21" s="91" customFormat="1" ht="13.5" customHeight="1" x14ac:dyDescent="0.25">
      <c r="A53" s="98"/>
      <c r="B53" s="92"/>
      <c r="C53" s="476"/>
      <c r="D53" s="477" t="s">
        <v>151</v>
      </c>
      <c r="E53" s="478"/>
      <c r="F53" s="533" t="str">
        <f>CONCATENATE(" Изменение военной пенсии  с  ",TEXT(D58,"ДД.ММ.ГГГГ")," по ",TEXT(D59,"ДД.ММ.ГГГГ"))</f>
        <v xml:space="preserve"> Изменение военной пенсии  с  31.12.2011 по 01.01.2012</v>
      </c>
      <c r="G53" s="534"/>
      <c r="H53" s="479"/>
      <c r="I53" s="535"/>
      <c r="J53" s="479"/>
      <c r="K53" s="536"/>
      <c r="L53" s="536"/>
      <c r="M53" s="536"/>
      <c r="N53" s="482"/>
      <c r="O53" s="476"/>
      <c r="P53" s="476"/>
      <c r="Q53" s="476"/>
      <c r="R53" s="476"/>
      <c r="S53" s="476"/>
      <c r="T53" s="816"/>
      <c r="U53" s="751"/>
    </row>
    <row r="54" spans="1:21" s="91" customFormat="1" ht="3.75" customHeight="1" thickBot="1" x14ac:dyDescent="0.3">
      <c r="A54" s="98"/>
      <c r="B54" s="92"/>
      <c r="C54" s="476"/>
      <c r="D54" s="476"/>
      <c r="E54" s="476"/>
      <c r="F54" s="476"/>
      <c r="G54" s="476"/>
      <c r="H54" s="476"/>
      <c r="I54" s="476"/>
      <c r="J54" s="480"/>
      <c r="K54" s="476"/>
      <c r="L54" s="476"/>
      <c r="M54" s="481"/>
      <c r="N54" s="482"/>
      <c r="O54" s="476"/>
      <c r="P54" s="476"/>
      <c r="Q54" s="476"/>
      <c r="R54" s="476"/>
      <c r="S54" s="476"/>
      <c r="T54" s="816"/>
      <c r="U54" s="751"/>
    </row>
    <row r="55" spans="1:21" s="93" customFormat="1" ht="13.5" customHeight="1" x14ac:dyDescent="0.25">
      <c r="A55" s="180"/>
      <c r="B55" s="94"/>
      <c r="C55" s="490" t="s">
        <v>2</v>
      </c>
      <c r="D55" s="490" t="s">
        <v>0</v>
      </c>
      <c r="E55" s="1349" t="s">
        <v>192</v>
      </c>
      <c r="F55" s="1350"/>
      <c r="G55" s="1350"/>
      <c r="H55" s="1354"/>
      <c r="I55" s="490" t="s">
        <v>36</v>
      </c>
      <c r="J55" s="490" t="s">
        <v>31</v>
      </c>
      <c r="K55" s="490" t="s">
        <v>8</v>
      </c>
      <c r="L55" s="490" t="s">
        <v>9</v>
      </c>
      <c r="M55" s="537"/>
      <c r="N55" s="538"/>
      <c r="O55" s="539"/>
      <c r="P55" s="539"/>
      <c r="Q55" s="1353"/>
      <c r="R55" s="1353"/>
      <c r="S55" s="803"/>
      <c r="T55" s="818"/>
      <c r="U55" s="753"/>
    </row>
    <row r="56" spans="1:21" s="93" customFormat="1" ht="13.5" customHeight="1" x14ac:dyDescent="0.25">
      <c r="A56" s="180"/>
      <c r="B56" s="94"/>
      <c r="C56" s="492" t="s">
        <v>15</v>
      </c>
      <c r="D56" s="492" t="s">
        <v>17</v>
      </c>
      <c r="E56" s="493" t="s">
        <v>1</v>
      </c>
      <c r="F56" s="494" t="s">
        <v>37</v>
      </c>
      <c r="G56" s="495" t="s">
        <v>5</v>
      </c>
      <c r="H56" s="496" t="s">
        <v>7</v>
      </c>
      <c r="I56" s="492"/>
      <c r="J56" s="492"/>
      <c r="K56" s="492"/>
      <c r="L56" s="492" t="s">
        <v>145</v>
      </c>
      <c r="M56" s="537"/>
      <c r="N56" s="539"/>
      <c r="O56" s="539"/>
      <c r="P56" s="539"/>
      <c r="Q56" s="539"/>
      <c r="R56" s="539"/>
      <c r="S56" s="803"/>
      <c r="T56" s="818"/>
      <c r="U56" s="753"/>
    </row>
    <row r="57" spans="1:21" s="91" customFormat="1" ht="7.5" customHeight="1" thickBot="1" x14ac:dyDescent="0.3">
      <c r="A57" s="98"/>
      <c r="B57" s="92"/>
      <c r="C57" s="499"/>
      <c r="D57" s="500"/>
      <c r="E57" s="500"/>
      <c r="F57" s="540"/>
      <c r="G57" s="502"/>
      <c r="H57" s="503"/>
      <c r="I57" s="500"/>
      <c r="J57" s="500"/>
      <c r="K57" s="500"/>
      <c r="L57" s="500"/>
      <c r="M57" s="541"/>
      <c r="N57" s="476"/>
      <c r="O57" s="476"/>
      <c r="P57" s="476"/>
      <c r="Q57" s="480"/>
      <c r="R57" s="476"/>
      <c r="S57" s="476"/>
      <c r="T57" s="816"/>
      <c r="U57" s="751"/>
    </row>
    <row r="58" spans="1:21" s="90" customFormat="1" ht="15" customHeight="1" x14ac:dyDescent="0.25">
      <c r="A58" s="97"/>
      <c r="B58" s="95"/>
      <c r="C58" s="505">
        <v>0</v>
      </c>
      <c r="D58" s="506">
        <v>40908</v>
      </c>
      <c r="E58" s="507"/>
      <c r="F58" s="728">
        <v>0.7</v>
      </c>
      <c r="G58" s="508">
        <f>$G$33</f>
        <v>4880</v>
      </c>
      <c r="H58" s="542">
        <f>$H$33</f>
        <v>3034</v>
      </c>
      <c r="I58" s="512">
        <f>$I$33</f>
        <v>10763.04</v>
      </c>
      <c r="J58" s="512">
        <f>$L$33</f>
        <v>10763.04</v>
      </c>
      <c r="K58" s="512"/>
      <c r="L58" s="507"/>
      <c r="M58" s="543"/>
      <c r="N58" s="488"/>
      <c r="O58" s="484"/>
      <c r="P58" s="484"/>
      <c r="Q58" s="544"/>
      <c r="R58" s="488"/>
      <c r="S58" s="484"/>
      <c r="T58" s="817"/>
      <c r="U58" s="752"/>
    </row>
    <row r="59" spans="1:21" s="90" customFormat="1" ht="15" customHeight="1" thickBot="1" x14ac:dyDescent="0.3">
      <c r="A59" s="97"/>
      <c r="B59" s="95"/>
      <c r="C59" s="545">
        <f>C58+1</f>
        <v>1</v>
      </c>
      <c r="D59" s="515">
        <v>40909</v>
      </c>
      <c r="E59" s="516">
        <f>VLOOKUP(C59,__Периоды,3,0)</f>
        <v>0.54</v>
      </c>
      <c r="F59" s="729">
        <v>0.4</v>
      </c>
      <c r="G59" s="517">
        <f>$G$34</f>
        <v>26000</v>
      </c>
      <c r="H59" s="546">
        <f>$H$34</f>
        <v>12000</v>
      </c>
      <c r="I59" s="521">
        <f>$I$34</f>
        <v>42560</v>
      </c>
      <c r="J59" s="521">
        <f>$L$34</f>
        <v>22982.400000000001</v>
      </c>
      <c r="K59" s="521">
        <f>I59-J59</f>
        <v>19577.599999999999</v>
      </c>
      <c r="L59" s="516">
        <f>K59/I59</f>
        <v>0.45999999999999996</v>
      </c>
      <c r="M59" s="543"/>
      <c r="N59" s="547"/>
      <c r="O59" s="484"/>
      <c r="P59" s="484"/>
      <c r="Q59" s="548"/>
      <c r="R59" s="532"/>
      <c r="S59" s="484"/>
      <c r="T59" s="817"/>
      <c r="U59" s="752"/>
    </row>
    <row r="60" spans="1:21" s="90" customFormat="1" ht="15" customHeight="1" x14ac:dyDescent="0.25">
      <c r="A60" s="97"/>
      <c r="B60" s="95"/>
      <c r="C60" s="1355" t="s">
        <v>146</v>
      </c>
      <c r="D60" s="1356"/>
      <c r="E60" s="549">
        <f>E59-1</f>
        <v>-0.45999999999999996</v>
      </c>
      <c r="F60" s="730">
        <f t="shared" ref="F60:L60" si="38">F59-F58</f>
        <v>-0.29999999999999993</v>
      </c>
      <c r="G60" s="550">
        <f t="shared" si="38"/>
        <v>21120</v>
      </c>
      <c r="H60" s="551">
        <f t="shared" si="38"/>
        <v>8966</v>
      </c>
      <c r="I60" s="552">
        <f t="shared" si="38"/>
        <v>31796.959999999999</v>
      </c>
      <c r="J60" s="552">
        <f t="shared" si="38"/>
        <v>12219.36</v>
      </c>
      <c r="K60" s="552">
        <f t="shared" si="38"/>
        <v>19577.599999999999</v>
      </c>
      <c r="L60" s="553">
        <f t="shared" si="38"/>
        <v>0.45999999999999996</v>
      </c>
      <c r="M60" s="543"/>
      <c r="N60" s="487"/>
      <c r="O60" s="484"/>
      <c r="P60" s="484"/>
      <c r="Q60" s="554"/>
      <c r="R60" s="487"/>
      <c r="S60" s="484"/>
      <c r="T60" s="817"/>
      <c r="U60" s="752"/>
    </row>
    <row r="61" spans="1:21" s="90" customFormat="1" ht="15" customHeight="1" thickBot="1" x14ac:dyDescent="0.3">
      <c r="A61" s="97"/>
      <c r="B61" s="95"/>
      <c r="C61" s="1357" t="s">
        <v>164</v>
      </c>
      <c r="D61" s="1358"/>
      <c r="E61" s="555">
        <f>E59/1</f>
        <v>0.54</v>
      </c>
      <c r="F61" s="555">
        <f>F59/F58</f>
        <v>0.57142857142857151</v>
      </c>
      <c r="G61" s="556">
        <f>G59/G58</f>
        <v>5.3278688524590168</v>
      </c>
      <c r="H61" s="557">
        <f>H59/H58</f>
        <v>3.9551746868820041</v>
      </c>
      <c r="I61" s="558">
        <f>I59/I58</f>
        <v>3.954273142160579</v>
      </c>
      <c r="J61" s="558">
        <f>J59/J58</f>
        <v>2.1353074967667127</v>
      </c>
      <c r="K61" s="559"/>
      <c r="L61" s="558"/>
      <c r="M61" s="543"/>
      <c r="N61" s="560"/>
      <c r="O61" s="484"/>
      <c r="P61" s="484"/>
      <c r="Q61" s="561"/>
      <c r="R61" s="560"/>
      <c r="S61" s="484"/>
      <c r="T61" s="817"/>
      <c r="U61" s="752"/>
    </row>
    <row r="62" spans="1:21" s="90" customFormat="1" ht="13.5" customHeight="1" x14ac:dyDescent="0.25">
      <c r="A62" s="97"/>
      <c r="B62" s="95"/>
      <c r="C62" s="487"/>
      <c r="D62" s="531"/>
      <c r="E62" s="532"/>
      <c r="F62" s="532"/>
      <c r="G62" s="487"/>
      <c r="H62" s="487"/>
      <c r="I62" s="487"/>
      <c r="J62" s="486"/>
      <c r="K62" s="487"/>
      <c r="L62" s="487"/>
      <c r="M62" s="488"/>
      <c r="N62" s="489"/>
      <c r="O62" s="487"/>
      <c r="P62" s="487"/>
      <c r="Q62" s="487"/>
      <c r="R62" s="487"/>
      <c r="S62" s="484"/>
      <c r="T62" s="817"/>
      <c r="U62" s="752"/>
    </row>
    <row r="63" spans="1:21" s="91" customFormat="1" ht="13.5" customHeight="1" x14ac:dyDescent="0.25">
      <c r="A63" s="98"/>
      <c r="B63" s="92"/>
      <c r="C63" s="476"/>
      <c r="D63" s="477" t="s">
        <v>156</v>
      </c>
      <c r="E63" s="478"/>
      <c r="F63" s="533" t="str">
        <f ca="1">CONCATENATE(" Общее изменение военной пенсии  с  ",TEXT(D68,"ДД.ММ.ГГГГ")," по ",TEXT(D69,"ДД.ММ.ГГГГ"))</f>
        <v xml:space="preserve"> Общее изменение военной пенсии  с  01.01.2012 по 13.04.2022</v>
      </c>
      <c r="G63" s="534"/>
      <c r="H63" s="479"/>
      <c r="I63" s="535"/>
      <c r="J63" s="479"/>
      <c r="K63" s="536"/>
      <c r="L63" s="536"/>
      <c r="M63" s="536"/>
      <c r="N63" s="482"/>
      <c r="O63" s="476"/>
      <c r="P63" s="476"/>
      <c r="Q63" s="476"/>
      <c r="R63" s="476"/>
      <c r="S63" s="476"/>
      <c r="T63" s="816"/>
      <c r="U63" s="751"/>
    </row>
    <row r="64" spans="1:21" s="91" customFormat="1" ht="3.75" customHeight="1" thickBot="1" x14ac:dyDescent="0.3">
      <c r="A64" s="98"/>
      <c r="B64" s="92"/>
      <c r="C64" s="476"/>
      <c r="D64" s="476"/>
      <c r="E64" s="476"/>
      <c r="F64" s="476"/>
      <c r="G64" s="476"/>
      <c r="H64" s="476"/>
      <c r="I64" s="476"/>
      <c r="J64" s="480"/>
      <c r="K64" s="476"/>
      <c r="L64" s="476"/>
      <c r="M64" s="481"/>
      <c r="N64" s="482"/>
      <c r="O64" s="476"/>
      <c r="P64" s="476"/>
      <c r="Q64" s="476"/>
      <c r="R64" s="476"/>
      <c r="S64" s="476"/>
      <c r="T64" s="816"/>
      <c r="U64" s="751"/>
    </row>
    <row r="65" spans="1:21" s="93" customFormat="1" ht="13.5" customHeight="1" x14ac:dyDescent="0.25">
      <c r="A65" s="180"/>
      <c r="B65" s="94"/>
      <c r="C65" s="490" t="s">
        <v>2</v>
      </c>
      <c r="D65" s="490" t="s">
        <v>0</v>
      </c>
      <c r="E65" s="1349" t="s">
        <v>192</v>
      </c>
      <c r="F65" s="1350"/>
      <c r="G65" s="1350"/>
      <c r="H65" s="490" t="s">
        <v>36</v>
      </c>
      <c r="I65" s="490" t="s">
        <v>31</v>
      </c>
      <c r="J65" s="490" t="s">
        <v>8</v>
      </c>
      <c r="K65" s="490" t="s">
        <v>9</v>
      </c>
      <c r="L65" s="537"/>
      <c r="M65" s="870"/>
      <c r="N65" s="870"/>
      <c r="O65" s="539"/>
      <c r="P65" s="538"/>
      <c r="Q65" s="538"/>
      <c r="R65" s="539"/>
      <c r="S65" s="803"/>
      <c r="T65" s="818"/>
      <c r="U65" s="753"/>
    </row>
    <row r="66" spans="1:21" s="93" customFormat="1" ht="13.5" customHeight="1" x14ac:dyDescent="0.25">
      <c r="A66" s="180"/>
      <c r="B66" s="94"/>
      <c r="C66" s="492" t="s">
        <v>15</v>
      </c>
      <c r="D66" s="492" t="s">
        <v>17</v>
      </c>
      <c r="E66" s="493" t="s">
        <v>1</v>
      </c>
      <c r="F66" s="495" t="s">
        <v>5</v>
      </c>
      <c r="G66" s="496" t="s">
        <v>7</v>
      </c>
      <c r="H66" s="492"/>
      <c r="I66" s="492"/>
      <c r="J66" s="492"/>
      <c r="K66" s="492" t="s">
        <v>145</v>
      </c>
      <c r="L66" s="537"/>
      <c r="M66" s="870"/>
      <c r="N66" s="870"/>
      <c r="O66" s="539"/>
      <c r="P66" s="539"/>
      <c r="Q66" s="539"/>
      <c r="R66" s="539"/>
      <c r="S66" s="803"/>
      <c r="T66" s="818"/>
      <c r="U66" s="753"/>
    </row>
    <row r="67" spans="1:21" s="91" customFormat="1" ht="7.5" customHeight="1" thickBot="1" x14ac:dyDescent="0.3">
      <c r="A67" s="98"/>
      <c r="B67" s="92"/>
      <c r="C67" s="499"/>
      <c r="D67" s="500"/>
      <c r="E67" s="562"/>
      <c r="F67" s="502"/>
      <c r="G67" s="563"/>
      <c r="H67" s="562"/>
      <c r="I67" s="562"/>
      <c r="J67" s="562"/>
      <c r="K67" s="500"/>
      <c r="L67" s="881"/>
      <c r="M67" s="481"/>
      <c r="N67" s="481"/>
      <c r="O67" s="481"/>
      <c r="P67" s="480"/>
      <c r="Q67" s="476"/>
      <c r="R67" s="476"/>
      <c r="S67" s="476"/>
      <c r="T67" s="816"/>
      <c r="U67" s="751"/>
    </row>
    <row r="68" spans="1:21" s="90" customFormat="1" ht="15" customHeight="1" x14ac:dyDescent="0.25">
      <c r="A68" s="97"/>
      <c r="B68" s="95"/>
      <c r="C68" s="505">
        <v>1</v>
      </c>
      <c r="D68" s="506">
        <f>VLOOKUP(C68,__Периоды,2,0)</f>
        <v>40909</v>
      </c>
      <c r="E68" s="507">
        <f>VLOOKUP(C68,__Периоды,3,0)</f>
        <v>0.54</v>
      </c>
      <c r="F68" s="829">
        <f>$G$34</f>
        <v>26000</v>
      </c>
      <c r="G68" s="829">
        <f>$H$34</f>
        <v>12000</v>
      </c>
      <c r="H68" s="830">
        <f>I12</f>
        <v>42560</v>
      </c>
      <c r="I68" s="830">
        <f ca="1">M12</f>
        <v>22982.400000000001</v>
      </c>
      <c r="J68" s="830">
        <f ca="1">H68-I68</f>
        <v>19577.599999999999</v>
      </c>
      <c r="K68" s="516">
        <f ca="1">J68/H68</f>
        <v>0.45999999999999996</v>
      </c>
      <c r="L68" s="837"/>
      <c r="M68" s="882"/>
      <c r="N68" s="882"/>
      <c r="O68" s="532"/>
      <c r="P68" s="544"/>
      <c r="Q68" s="532"/>
      <c r="R68" s="484"/>
      <c r="S68" s="484"/>
      <c r="T68" s="817"/>
      <c r="U68" s="752"/>
    </row>
    <row r="69" spans="1:21" s="90" customFormat="1" ht="15" customHeight="1" thickBot="1" x14ac:dyDescent="0.3">
      <c r="A69" s="97"/>
      <c r="B69" s="95"/>
      <c r="C69" s="514">
        <f ca="1">Параметры!B8</f>
        <v>13</v>
      </c>
      <c r="D69" s="515">
        <f ca="1">TODAY()</f>
        <v>44664</v>
      </c>
      <c r="E69" s="525">
        <f ca="1">VLOOKUP(C69,__Периоды,3,0)</f>
        <v>0.74</v>
      </c>
      <c r="F69" s="834">
        <f ca="1">VLOOKUP(C69,__ВПрасч1,5,0)</f>
        <v>30125</v>
      </c>
      <c r="G69" s="834">
        <f ca="1">VLOOKUP(C69,__ВПрасч1,6,0)</f>
        <v>13905</v>
      </c>
      <c r="H69" s="828">
        <f ca="1">VLOOKUP(C69,__ВПрасч1,7,0)</f>
        <v>49313.599999999999</v>
      </c>
      <c r="I69" s="835">
        <f ca="1">I16</f>
        <v>36492.063999999998</v>
      </c>
      <c r="J69" s="835">
        <f ca="1">H69-I69</f>
        <v>12821.536</v>
      </c>
      <c r="K69" s="516">
        <f ca="1">J69/H69</f>
        <v>0.26</v>
      </c>
      <c r="L69" s="837"/>
      <c r="M69" s="882"/>
      <c r="N69" s="882"/>
      <c r="O69" s="532"/>
      <c r="P69" s="544"/>
      <c r="Q69" s="532"/>
      <c r="R69" s="484"/>
      <c r="S69" s="484"/>
      <c r="T69" s="817"/>
      <c r="U69" s="752"/>
    </row>
    <row r="70" spans="1:21" s="90" customFormat="1" ht="15" customHeight="1" x14ac:dyDescent="0.25">
      <c r="A70" s="97"/>
      <c r="B70" s="95"/>
      <c r="C70" s="1355" t="s">
        <v>146</v>
      </c>
      <c r="D70" s="1356"/>
      <c r="E70" s="553">
        <f t="shared" ref="E70:J70" ca="1" si="39">E69-E68</f>
        <v>0.19999999999999996</v>
      </c>
      <c r="F70" s="831">
        <f t="shared" ca="1" si="39"/>
        <v>4125</v>
      </c>
      <c r="G70" s="832">
        <f t="shared" ca="1" si="39"/>
        <v>1905</v>
      </c>
      <c r="H70" s="833">
        <f t="shared" ca="1" si="39"/>
        <v>6753.5999999999985</v>
      </c>
      <c r="I70" s="833">
        <f t="shared" ca="1" si="39"/>
        <v>13509.663999999997</v>
      </c>
      <c r="J70" s="833">
        <f t="shared" ca="1" si="39"/>
        <v>-6756.0639999999985</v>
      </c>
      <c r="K70" s="553">
        <f ca="1">K69-K68</f>
        <v>-0.19999999999999996</v>
      </c>
      <c r="L70" s="837"/>
      <c r="M70" s="882"/>
      <c r="N70" s="882"/>
      <c r="O70" s="532"/>
      <c r="P70" s="554"/>
      <c r="Q70" s="487"/>
      <c r="R70" s="484"/>
      <c r="S70" s="484"/>
      <c r="T70" s="817"/>
      <c r="U70" s="752"/>
    </row>
    <row r="71" spans="1:21" s="90" customFormat="1" ht="15" customHeight="1" thickBot="1" x14ac:dyDescent="0.3">
      <c r="A71" s="97"/>
      <c r="B71" s="95"/>
      <c r="C71" s="1357" t="s">
        <v>23</v>
      </c>
      <c r="D71" s="1358"/>
      <c r="E71" s="564"/>
      <c r="F71" s="564">
        <f ca="1">F70/F68</f>
        <v>0.15865384615384615</v>
      </c>
      <c r="G71" s="565">
        <f ca="1">G70/G68</f>
        <v>0.15875</v>
      </c>
      <c r="H71" s="559">
        <f ca="1">H70/H68</f>
        <v>0.15868421052631576</v>
      </c>
      <c r="I71" s="559">
        <f ca="1">I70/I68</f>
        <v>0.58782651072124736</v>
      </c>
      <c r="J71" s="559">
        <f ca="1">J70/J68</f>
        <v>-0.34509153318077795</v>
      </c>
      <c r="K71" s="566"/>
      <c r="L71" s="837"/>
      <c r="M71" s="560"/>
      <c r="N71" s="560"/>
      <c r="O71" s="560"/>
      <c r="P71" s="561"/>
      <c r="Q71" s="560"/>
      <c r="R71" s="484"/>
      <c r="S71" s="484"/>
      <c r="T71" s="817"/>
      <c r="U71" s="752"/>
    </row>
    <row r="72" spans="1:21" s="90" customFormat="1" ht="13.5" customHeight="1" x14ac:dyDescent="0.25">
      <c r="A72" s="97"/>
      <c r="B72" s="95"/>
      <c r="C72" s="487"/>
      <c r="D72" s="531"/>
      <c r="E72" s="485"/>
      <c r="F72" s="485"/>
      <c r="G72" s="484"/>
      <c r="H72" s="484"/>
      <c r="I72" s="484"/>
      <c r="J72" s="588"/>
      <c r="K72" s="484"/>
      <c r="L72" s="484"/>
      <c r="M72" s="488"/>
      <c r="N72" s="489"/>
      <c r="O72" s="487"/>
      <c r="P72" s="487"/>
      <c r="Q72" s="487"/>
      <c r="R72" s="487"/>
      <c r="S72" s="484"/>
      <c r="T72" s="817"/>
      <c r="U72" s="752"/>
    </row>
    <row r="73" spans="1:21" s="91" customFormat="1" ht="13.5" customHeight="1" x14ac:dyDescent="0.25">
      <c r="A73" s="98"/>
      <c r="B73" s="92"/>
      <c r="C73" s="476"/>
      <c r="D73" s="477" t="s">
        <v>232</v>
      </c>
      <c r="E73" s="478"/>
      <c r="F73" s="533" t="str">
        <f ca="1">CONCATENATE(" Прогноз изменения военной пенсии  с  ",TEXT(D78,"ДД.ММ.ГГГГ")," по ",TEXT(D79,"ДД.ММ.ГГГГ"))</f>
        <v xml:space="preserve"> Прогноз изменения военной пенсии  с  13.04.2022 по 01.10.2024</v>
      </c>
      <c r="G73" s="534"/>
      <c r="H73" s="479"/>
      <c r="I73" s="535"/>
      <c r="J73" s="479"/>
      <c r="K73" s="536"/>
      <c r="L73" s="536"/>
      <c r="M73" s="536"/>
      <c r="N73" s="482"/>
      <c r="O73" s="476"/>
      <c r="P73" s="476"/>
      <c r="Q73" s="476"/>
      <c r="R73" s="476"/>
      <c r="S73" s="476"/>
      <c r="T73" s="816"/>
      <c r="U73" s="751"/>
    </row>
    <row r="74" spans="1:21" s="91" customFormat="1" ht="3.75" customHeight="1" thickBot="1" x14ac:dyDescent="0.3">
      <c r="A74" s="98"/>
      <c r="B74" s="92"/>
      <c r="C74" s="476"/>
      <c r="D74" s="476"/>
      <c r="E74" s="476"/>
      <c r="F74" s="476"/>
      <c r="G74" s="476"/>
      <c r="H74" s="476"/>
      <c r="I74" s="476"/>
      <c r="J74" s="480"/>
      <c r="K74" s="476"/>
      <c r="L74" s="476"/>
      <c r="M74" s="481"/>
      <c r="N74" s="482"/>
      <c r="O74" s="476"/>
      <c r="P74" s="476"/>
      <c r="Q74" s="476"/>
      <c r="R74" s="476"/>
      <c r="S74" s="476"/>
      <c r="T74" s="816"/>
      <c r="U74" s="751"/>
    </row>
    <row r="75" spans="1:21" s="93" customFormat="1" ht="13.5" customHeight="1" x14ac:dyDescent="0.25">
      <c r="A75" s="180"/>
      <c r="B75" s="94"/>
      <c r="C75" s="490" t="s">
        <v>2</v>
      </c>
      <c r="D75" s="490" t="s">
        <v>0</v>
      </c>
      <c r="E75" s="1349" t="s">
        <v>192</v>
      </c>
      <c r="F75" s="1350"/>
      <c r="G75" s="1354"/>
      <c r="H75" s="490" t="s">
        <v>36</v>
      </c>
      <c r="I75" s="490" t="s">
        <v>31</v>
      </c>
      <c r="J75" s="490" t="s">
        <v>8</v>
      </c>
      <c r="K75" s="490" t="s">
        <v>9</v>
      </c>
      <c r="L75" s="537"/>
      <c r="M75" s="870"/>
      <c r="N75" s="870"/>
      <c r="O75" s="539"/>
      <c r="P75" s="538"/>
      <c r="Q75" s="538"/>
      <c r="R75" s="539"/>
      <c r="S75" s="803"/>
      <c r="T75" s="818"/>
      <c r="U75" s="753"/>
    </row>
    <row r="76" spans="1:21" s="93" customFormat="1" ht="13.5" customHeight="1" x14ac:dyDescent="0.25">
      <c r="A76" s="180"/>
      <c r="B76" s="94"/>
      <c r="C76" s="492" t="s">
        <v>15</v>
      </c>
      <c r="D76" s="492" t="s">
        <v>17</v>
      </c>
      <c r="E76" s="493" t="s">
        <v>1</v>
      </c>
      <c r="F76" s="495" t="s">
        <v>5</v>
      </c>
      <c r="G76" s="496" t="s">
        <v>7</v>
      </c>
      <c r="H76" s="492"/>
      <c r="I76" s="492"/>
      <c r="J76" s="492"/>
      <c r="K76" s="492" t="s">
        <v>145</v>
      </c>
      <c r="L76" s="537"/>
      <c r="M76" s="870"/>
      <c r="N76" s="870"/>
      <c r="O76" s="539"/>
      <c r="P76" s="539"/>
      <c r="Q76" s="539"/>
      <c r="R76" s="539"/>
      <c r="S76" s="803"/>
      <c r="T76" s="818"/>
      <c r="U76" s="753"/>
    </row>
    <row r="77" spans="1:21" s="91" customFormat="1" ht="7.5" customHeight="1" thickBot="1" x14ac:dyDescent="0.3">
      <c r="A77" s="98"/>
      <c r="B77" s="92"/>
      <c r="C77" s="499"/>
      <c r="D77" s="500"/>
      <c r="E77" s="562"/>
      <c r="F77" s="502"/>
      <c r="G77" s="589"/>
      <c r="H77" s="562"/>
      <c r="I77" s="562"/>
      <c r="J77" s="562"/>
      <c r="K77" s="500"/>
      <c r="L77" s="881"/>
      <c r="M77" s="481"/>
      <c r="N77" s="481"/>
      <c r="O77" s="481"/>
      <c r="P77" s="480"/>
      <c r="Q77" s="476"/>
      <c r="R77" s="476"/>
      <c r="S77" s="476"/>
      <c r="T77" s="816"/>
      <c r="U77" s="751"/>
    </row>
    <row r="78" spans="1:21" s="90" customFormat="1" ht="15" customHeight="1" x14ac:dyDescent="0.25">
      <c r="A78" s="97"/>
      <c r="B78" s="95"/>
      <c r="C78" s="514">
        <f ca="1">Параметры!B8</f>
        <v>13</v>
      </c>
      <c r="D78" s="506">
        <f ca="1">TODAY()</f>
        <v>44664</v>
      </c>
      <c r="E78" s="507">
        <f ca="1">VLOOKUP(C78,__Периоды,3,0)</f>
        <v>0.74</v>
      </c>
      <c r="F78" s="829">
        <f ca="1">VLOOKUP(C78,__ВПрасч1,5,0)</f>
        <v>30125</v>
      </c>
      <c r="G78" s="829">
        <f ca="1">VLOOKUP(C78,__ВПрасч1,6,0)</f>
        <v>13905</v>
      </c>
      <c r="H78" s="829">
        <f ca="1">VLOOKUP(C78,__ВПрасч1,7,0)</f>
        <v>49313.599999999999</v>
      </c>
      <c r="I78" s="830">
        <f ca="1">I16</f>
        <v>36492.063999999998</v>
      </c>
      <c r="J78" s="830">
        <f ca="1">H78-I78</f>
        <v>12821.536</v>
      </c>
      <c r="K78" s="516">
        <f ca="1">J78/H78</f>
        <v>0.26</v>
      </c>
      <c r="L78" s="837"/>
      <c r="M78" s="882"/>
      <c r="N78" s="882"/>
      <c r="O78" s="485"/>
      <c r="P78" s="590"/>
      <c r="Q78" s="485"/>
      <c r="R78" s="484"/>
      <c r="S78" s="484"/>
      <c r="T78" s="817"/>
      <c r="U78" s="752"/>
    </row>
    <row r="79" spans="1:21" s="90" customFormat="1" ht="15" customHeight="1" thickBot="1" x14ac:dyDescent="0.3">
      <c r="A79" s="97"/>
      <c r="B79" s="95"/>
      <c r="C79" s="591">
        <f>Параметры!B4</f>
        <v>17</v>
      </c>
      <c r="D79" s="524">
        <f>VLOOKUP(C79,__Периоды,2,0)</f>
        <v>45566</v>
      </c>
      <c r="E79" s="525">
        <f>VLOOKUP(C79,__Периоды,3,0)</f>
        <v>0.78</v>
      </c>
      <c r="F79" s="834">
        <f>VLOOKUP(C79,__ВПрасч1,5,0)</f>
        <v>33888</v>
      </c>
      <c r="G79" s="834">
        <f>VLOOKUP(C79,__ВПрасч1,6,0)</f>
        <v>15643</v>
      </c>
      <c r="H79" s="828">
        <f>VLOOKUP(C79,__ВПрасч1,7,0)</f>
        <v>55474.720000000001</v>
      </c>
      <c r="I79" s="828">
        <f>H79*E79*(1+L79)</f>
        <v>43270.281600000002</v>
      </c>
      <c r="J79" s="828">
        <f>IF(I79 &gt; H79,0,H79 - I79)</f>
        <v>12204.438399999999</v>
      </c>
      <c r="K79" s="516">
        <f>J79/H79</f>
        <v>0.21999999999999997</v>
      </c>
      <c r="L79" s="837"/>
      <c r="M79" s="882"/>
      <c r="N79" s="882"/>
      <c r="O79" s="485"/>
      <c r="P79" s="590"/>
      <c r="Q79" s="485"/>
      <c r="R79" s="484"/>
      <c r="S79" s="484"/>
      <c r="T79" s="817"/>
      <c r="U79" s="752"/>
    </row>
    <row r="80" spans="1:21" s="90" customFormat="1" ht="15" customHeight="1" x14ac:dyDescent="0.25">
      <c r="A80" s="97"/>
      <c r="B80" s="95"/>
      <c r="C80" s="1355" t="s">
        <v>146</v>
      </c>
      <c r="D80" s="1356"/>
      <c r="E80" s="553">
        <f t="shared" ref="E80:J80" ca="1" si="40">E79-E78</f>
        <v>4.0000000000000036E-2</v>
      </c>
      <c r="F80" s="831">
        <f t="shared" ca="1" si="40"/>
        <v>3763</v>
      </c>
      <c r="G80" s="832">
        <f t="shared" ca="1" si="40"/>
        <v>1738</v>
      </c>
      <c r="H80" s="833">
        <f t="shared" ca="1" si="40"/>
        <v>6161.1200000000026</v>
      </c>
      <c r="I80" s="833">
        <f t="shared" ca="1" si="40"/>
        <v>6778.2176000000036</v>
      </c>
      <c r="J80" s="833">
        <f t="shared" ca="1" si="40"/>
        <v>-617.09760000000097</v>
      </c>
      <c r="K80" s="553">
        <f ca="1">K79-K78</f>
        <v>-4.0000000000000036E-2</v>
      </c>
      <c r="L80" s="837"/>
      <c r="M80" s="882"/>
      <c r="N80" s="882"/>
      <c r="O80" s="485"/>
      <c r="P80" s="592"/>
      <c r="Q80" s="484"/>
      <c r="R80" s="484"/>
      <c r="S80" s="484"/>
      <c r="T80" s="817"/>
      <c r="U80" s="752"/>
    </row>
    <row r="81" spans="1:44" s="90" customFormat="1" ht="15" customHeight="1" thickBot="1" x14ac:dyDescent="0.3">
      <c r="A81" s="97"/>
      <c r="B81" s="95"/>
      <c r="C81" s="1357" t="s">
        <v>23</v>
      </c>
      <c r="D81" s="1358"/>
      <c r="E81" s="593"/>
      <c r="F81" s="593">
        <f ca="1">F80/F78</f>
        <v>0.12491286307053942</v>
      </c>
      <c r="G81" s="594">
        <f ca="1">G80/G78</f>
        <v>0.12499101042790363</v>
      </c>
      <c r="H81" s="566">
        <f ca="1">H80/H78</f>
        <v>0.12493754258460146</v>
      </c>
      <c r="I81" s="566">
        <f ca="1">I80/I78</f>
        <v>0.1857449773189043</v>
      </c>
      <c r="J81" s="594">
        <f ca="1">IF(J78 &gt; 0,J80/J78,0)</f>
        <v>-4.8129771659183501E-2</v>
      </c>
      <c r="K81" s="566"/>
      <c r="L81" s="837"/>
      <c r="M81" s="532"/>
      <c r="N81" s="560"/>
      <c r="O81" s="596"/>
      <c r="P81" s="595"/>
      <c r="Q81" s="596"/>
      <c r="R81" s="484"/>
      <c r="S81" s="484"/>
      <c r="T81" s="817"/>
      <c r="U81" s="752"/>
    </row>
    <row r="82" spans="1:44" s="91" customFormat="1" ht="13.5" customHeight="1" x14ac:dyDescent="0.25">
      <c r="A82" s="98"/>
      <c r="B82" s="92"/>
      <c r="C82" s="597"/>
      <c r="D82" s="597"/>
      <c r="E82" s="597"/>
      <c r="F82" s="597"/>
      <c r="G82" s="597"/>
      <c r="H82" s="597"/>
      <c r="I82" s="597"/>
      <c r="J82" s="598"/>
      <c r="K82" s="597"/>
      <c r="L82" s="597"/>
      <c r="M82" s="599"/>
      <c r="N82" s="600"/>
      <c r="O82" s="597"/>
      <c r="P82" s="597"/>
      <c r="Q82" s="597"/>
      <c r="R82" s="597"/>
      <c r="S82" s="476"/>
      <c r="T82" s="816"/>
      <c r="U82" s="751"/>
    </row>
    <row r="83" spans="1:44" s="91" customFormat="1" ht="13.5" customHeight="1" x14ac:dyDescent="0.25">
      <c r="A83" s="98"/>
      <c r="B83" s="92"/>
      <c r="C83" s="476"/>
      <c r="D83" s="477" t="s">
        <v>233</v>
      </c>
      <c r="E83" s="478"/>
      <c r="F83" s="533" t="str">
        <f>CONCATENATE(" Прогноз изменения военной пенсии  с  01.01.2012 по ",TEXT(D89,"ДД.ММ.ГГГГ"))</f>
        <v xml:space="preserve"> Прогноз изменения военной пенсии  с  01.01.2012 по 01.10.2024</v>
      </c>
      <c r="G83" s="534"/>
      <c r="H83" s="479"/>
      <c r="I83" s="535"/>
      <c r="J83" s="479"/>
      <c r="K83" s="536"/>
      <c r="L83" s="536"/>
      <c r="M83" s="536"/>
      <c r="N83" s="482"/>
      <c r="O83" s="476"/>
      <c r="P83" s="476"/>
      <c r="Q83" s="476"/>
      <c r="R83" s="476"/>
      <c r="S83" s="476"/>
      <c r="T83" s="816"/>
      <c r="U83" s="751"/>
    </row>
    <row r="84" spans="1:44" s="91" customFormat="1" ht="3.75" customHeight="1" thickBot="1" x14ac:dyDescent="0.3">
      <c r="A84" s="98"/>
      <c r="B84" s="92"/>
      <c r="C84" s="476"/>
      <c r="D84" s="476"/>
      <c r="E84" s="476"/>
      <c r="F84" s="476"/>
      <c r="G84" s="476"/>
      <c r="H84" s="476"/>
      <c r="I84" s="476"/>
      <c r="J84" s="480"/>
      <c r="K84" s="476"/>
      <c r="L84" s="476"/>
      <c r="M84" s="481"/>
      <c r="N84" s="482"/>
      <c r="O84" s="476"/>
      <c r="P84" s="476"/>
      <c r="Q84" s="476"/>
      <c r="R84" s="476"/>
      <c r="S84" s="476"/>
      <c r="T84" s="816"/>
      <c r="U84" s="751"/>
    </row>
    <row r="85" spans="1:44" s="93" customFormat="1" ht="13.5" customHeight="1" x14ac:dyDescent="0.25">
      <c r="A85" s="180"/>
      <c r="B85" s="94"/>
      <c r="C85" s="490" t="s">
        <v>2</v>
      </c>
      <c r="D85" s="490" t="s">
        <v>0</v>
      </c>
      <c r="E85" s="1349" t="s">
        <v>192</v>
      </c>
      <c r="F85" s="1350"/>
      <c r="G85" s="1354"/>
      <c r="H85" s="490" t="s">
        <v>36</v>
      </c>
      <c r="I85" s="490" t="s">
        <v>31</v>
      </c>
      <c r="J85" s="490" t="s">
        <v>8</v>
      </c>
      <c r="K85" s="490" t="s">
        <v>9</v>
      </c>
      <c r="L85" s="537"/>
      <c r="M85" s="870"/>
      <c r="N85" s="870"/>
      <c r="O85" s="821"/>
      <c r="P85" s="538"/>
      <c r="Q85" s="538"/>
      <c r="R85" s="821"/>
      <c r="S85" s="821"/>
      <c r="T85" s="818"/>
      <c r="U85" s="753"/>
    </row>
    <row r="86" spans="1:44" s="93" customFormat="1" ht="13.5" customHeight="1" x14ac:dyDescent="0.25">
      <c r="A86" s="180"/>
      <c r="B86" s="94"/>
      <c r="C86" s="492" t="s">
        <v>15</v>
      </c>
      <c r="D86" s="492" t="s">
        <v>17</v>
      </c>
      <c r="E86" s="493" t="s">
        <v>1</v>
      </c>
      <c r="F86" s="495" t="s">
        <v>5</v>
      </c>
      <c r="G86" s="496" t="s">
        <v>7</v>
      </c>
      <c r="H86" s="492"/>
      <c r="I86" s="492"/>
      <c r="J86" s="492"/>
      <c r="K86" s="492" t="s">
        <v>145</v>
      </c>
      <c r="L86" s="537"/>
      <c r="M86" s="870"/>
      <c r="N86" s="870"/>
      <c r="O86" s="821"/>
      <c r="P86" s="821"/>
      <c r="Q86" s="821"/>
      <c r="R86" s="821"/>
      <c r="S86" s="821"/>
      <c r="T86" s="818"/>
      <c r="U86" s="753"/>
    </row>
    <row r="87" spans="1:44" s="91" customFormat="1" ht="7.5" customHeight="1" thickBot="1" x14ac:dyDescent="0.3">
      <c r="A87" s="98"/>
      <c r="B87" s="92"/>
      <c r="C87" s="499"/>
      <c r="D87" s="500"/>
      <c r="E87" s="562"/>
      <c r="F87" s="502"/>
      <c r="G87" s="589"/>
      <c r="H87" s="562"/>
      <c r="I87" s="562"/>
      <c r="J87" s="562"/>
      <c r="K87" s="500"/>
      <c r="L87" s="881"/>
      <c r="M87" s="481"/>
      <c r="N87" s="481"/>
      <c r="O87" s="481"/>
      <c r="P87" s="480"/>
      <c r="Q87" s="476"/>
      <c r="R87" s="476"/>
      <c r="S87" s="476"/>
      <c r="T87" s="816"/>
      <c r="U87" s="751"/>
    </row>
    <row r="88" spans="1:44" s="90" customFormat="1" ht="15" customHeight="1" x14ac:dyDescent="0.25">
      <c r="A88" s="97"/>
      <c r="B88" s="95"/>
      <c r="C88" s="514">
        <v>1</v>
      </c>
      <c r="D88" s="506">
        <v>40909</v>
      </c>
      <c r="E88" s="507">
        <f>VLOOKUP(C88,__Периоды,3,0)</f>
        <v>0.54</v>
      </c>
      <c r="F88" s="829">
        <f>VLOOKUP(C88,__ВПрасч1,5,0)</f>
        <v>26000</v>
      </c>
      <c r="G88" s="829">
        <f>VLOOKUP(C88,__ВПрасч1,6,0)</f>
        <v>12000</v>
      </c>
      <c r="H88" s="829">
        <f>VLOOKUP(C88,__ВПрасч1,7,0)</f>
        <v>42560</v>
      </c>
      <c r="I88" s="830">
        <f ca="1">M12</f>
        <v>22982.400000000001</v>
      </c>
      <c r="J88" s="830">
        <f ca="1">H88-I88</f>
        <v>19577.599999999999</v>
      </c>
      <c r="K88" s="516">
        <f ca="1">J88/H88</f>
        <v>0.45999999999999996</v>
      </c>
      <c r="L88" s="837"/>
      <c r="M88" s="882"/>
      <c r="N88" s="882"/>
      <c r="O88" s="485"/>
      <c r="P88" s="590"/>
      <c r="Q88" s="485"/>
      <c r="R88" s="484"/>
      <c r="S88" s="484"/>
      <c r="T88" s="817"/>
      <c r="U88" s="752"/>
    </row>
    <row r="89" spans="1:44" s="90" customFormat="1" ht="15" customHeight="1" thickBot="1" x14ac:dyDescent="0.3">
      <c r="A89" s="97"/>
      <c r="B89" s="95"/>
      <c r="C89" s="591">
        <f>Параметры!B4</f>
        <v>17</v>
      </c>
      <c r="D89" s="524">
        <f>VLOOKUP(C89,__Периоды,2,0)</f>
        <v>45566</v>
      </c>
      <c r="E89" s="525">
        <f>VLOOKUP(C89,__Периоды,3,0)</f>
        <v>0.78</v>
      </c>
      <c r="F89" s="834">
        <f>VLOOKUP(C89,__ВПрасч1,5,0)</f>
        <v>33888</v>
      </c>
      <c r="G89" s="834">
        <f>VLOOKUP(C89,__ВПрасч1,6,0)</f>
        <v>15643</v>
      </c>
      <c r="H89" s="828">
        <f>VLOOKUP(C89,__ВПрасч1,7,0)</f>
        <v>55474.720000000001</v>
      </c>
      <c r="I89" s="828">
        <f>I79</f>
        <v>43270.281600000002</v>
      </c>
      <c r="J89" s="828">
        <f>IF(I89 &gt; H89,0,H89 - I89)</f>
        <v>12204.438399999999</v>
      </c>
      <c r="K89" s="516">
        <f>J89/H89</f>
        <v>0.21999999999999997</v>
      </c>
      <c r="L89" s="837"/>
      <c r="M89" s="882"/>
      <c r="N89" s="882"/>
      <c r="O89" s="485"/>
      <c r="P89" s="590"/>
      <c r="Q89" s="485"/>
      <c r="R89" s="484"/>
      <c r="S89" s="484"/>
      <c r="T89" s="817"/>
      <c r="U89" s="752"/>
    </row>
    <row r="90" spans="1:44" s="90" customFormat="1" ht="15" customHeight="1" x14ac:dyDescent="0.25">
      <c r="A90" s="97"/>
      <c r="B90" s="95"/>
      <c r="C90" s="1355" t="s">
        <v>146</v>
      </c>
      <c r="D90" s="1356"/>
      <c r="E90" s="553">
        <f t="shared" ref="E90:J90" si="41">E89-E88</f>
        <v>0.24</v>
      </c>
      <c r="F90" s="831">
        <f t="shared" si="41"/>
        <v>7888</v>
      </c>
      <c r="G90" s="832">
        <f t="shared" si="41"/>
        <v>3643</v>
      </c>
      <c r="H90" s="833">
        <f t="shared" si="41"/>
        <v>12914.720000000001</v>
      </c>
      <c r="I90" s="833">
        <f t="shared" ca="1" si="41"/>
        <v>20287.881600000001</v>
      </c>
      <c r="J90" s="833">
        <f t="shared" ca="1" si="41"/>
        <v>-7373.1615999999995</v>
      </c>
      <c r="K90" s="553">
        <f ca="1">K89-K88</f>
        <v>-0.24</v>
      </c>
      <c r="L90" s="837"/>
      <c r="M90" s="882"/>
      <c r="N90" s="882"/>
      <c r="O90" s="485"/>
      <c r="P90" s="592"/>
      <c r="Q90" s="484"/>
      <c r="R90" s="484"/>
      <c r="S90" s="484"/>
      <c r="T90" s="817"/>
      <c r="U90" s="752"/>
    </row>
    <row r="91" spans="1:44" s="90" customFormat="1" ht="15" customHeight="1" thickBot="1" x14ac:dyDescent="0.3">
      <c r="A91" s="97"/>
      <c r="B91" s="95"/>
      <c r="C91" s="1357" t="s">
        <v>23</v>
      </c>
      <c r="D91" s="1358"/>
      <c r="E91" s="593"/>
      <c r="F91" s="593">
        <f>F90/F88</f>
        <v>0.30338461538461536</v>
      </c>
      <c r="G91" s="594">
        <f>G90/G88</f>
        <v>0.30358333333333332</v>
      </c>
      <c r="H91" s="566">
        <f>H90/H88</f>
        <v>0.30344736842105263</v>
      </c>
      <c r="I91" s="566">
        <f ca="1">I90/I88</f>
        <v>0.88275730994152046</v>
      </c>
      <c r="J91" s="594">
        <f ca="1">J90/J88</f>
        <v>-0.37661212814645306</v>
      </c>
      <c r="K91" s="566"/>
      <c r="L91" s="837"/>
      <c r="M91" s="532"/>
      <c r="N91" s="560"/>
      <c r="O91" s="596"/>
      <c r="P91" s="595"/>
      <c r="Q91" s="596"/>
      <c r="R91" s="484"/>
      <c r="S91" s="484"/>
      <c r="T91" s="817"/>
      <c r="U91" s="752"/>
    </row>
    <row r="92" spans="1:44" s="73" customFormat="1" ht="15.75" x14ac:dyDescent="0.25">
      <c r="A92" s="98"/>
      <c r="B92" s="104"/>
      <c r="C92" s="471"/>
      <c r="D92" s="471"/>
      <c r="E92" s="471"/>
      <c r="F92" s="471"/>
      <c r="G92" s="471"/>
      <c r="H92" s="471"/>
      <c r="I92" s="471"/>
      <c r="J92" s="471"/>
      <c r="K92" s="838"/>
      <c r="L92" s="839"/>
      <c r="M92" s="825"/>
      <c r="N92" s="826"/>
      <c r="O92" s="471"/>
      <c r="P92" s="471"/>
      <c r="Q92" s="471"/>
      <c r="R92" s="471"/>
      <c r="S92" s="471"/>
      <c r="T92" s="815"/>
      <c r="U92" s="750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1"/>
      <c r="AH92" s="91"/>
      <c r="AI92" s="91"/>
      <c r="AJ92" s="91"/>
      <c r="AK92" s="91"/>
      <c r="AL92" s="91"/>
      <c r="AM92" s="91"/>
      <c r="AN92" s="91"/>
      <c r="AO92" s="91"/>
      <c r="AP92" s="91"/>
      <c r="AQ92" s="91"/>
      <c r="AR92" s="91"/>
    </row>
    <row r="93" spans="1:44" s="91" customFormat="1" ht="13.5" customHeight="1" x14ac:dyDescent="0.25">
      <c r="A93" s="98"/>
      <c r="B93" s="92"/>
      <c r="C93" s="476"/>
      <c r="D93" s="477" t="s">
        <v>234</v>
      </c>
      <c r="E93" s="478"/>
      <c r="F93" s="479" t="s">
        <v>231</v>
      </c>
      <c r="G93" s="479"/>
      <c r="H93" s="479"/>
      <c r="I93" s="479"/>
      <c r="J93" s="480"/>
      <c r="K93" s="476"/>
      <c r="L93" s="476"/>
      <c r="M93" s="481"/>
      <c r="N93" s="482"/>
      <c r="O93" s="476"/>
      <c r="P93" s="476"/>
      <c r="Q93" s="476"/>
      <c r="R93" s="476"/>
      <c r="S93" s="476"/>
      <c r="T93" s="816"/>
      <c r="U93" s="751"/>
    </row>
    <row r="94" spans="1:44" s="90" customFormat="1" ht="4.5" customHeight="1" thickBot="1" x14ac:dyDescent="0.3">
      <c r="A94" s="179" t="s">
        <v>147</v>
      </c>
      <c r="B94" s="95"/>
      <c r="C94" s="484"/>
      <c r="D94" s="484"/>
      <c r="E94" s="485"/>
      <c r="F94" s="485"/>
      <c r="G94" s="484"/>
      <c r="H94" s="484"/>
      <c r="I94" s="484"/>
      <c r="J94" s="486"/>
      <c r="K94" s="487"/>
      <c r="L94" s="487"/>
      <c r="M94" s="488"/>
      <c r="N94" s="489"/>
      <c r="O94" s="487"/>
      <c r="P94" s="487"/>
      <c r="Q94" s="487"/>
      <c r="R94" s="487"/>
      <c r="S94" s="484"/>
      <c r="T94" s="817"/>
      <c r="U94" s="752"/>
    </row>
    <row r="95" spans="1:44" s="93" customFormat="1" ht="13.5" customHeight="1" x14ac:dyDescent="0.25">
      <c r="A95" s="181">
        <f>COUNT(C98:C115)</f>
        <v>17</v>
      </c>
      <c r="B95" s="94"/>
      <c r="C95" s="490" t="s">
        <v>2</v>
      </c>
      <c r="D95" s="490" t="s">
        <v>0</v>
      </c>
      <c r="E95" s="908" t="s">
        <v>70</v>
      </c>
      <c r="F95" s="925" t="s">
        <v>36</v>
      </c>
      <c r="G95" s="901" t="s">
        <v>237</v>
      </c>
      <c r="H95" s="908" t="s">
        <v>1</v>
      </c>
      <c r="I95" s="925" t="s">
        <v>31</v>
      </c>
      <c r="J95" s="901" t="s">
        <v>237</v>
      </c>
      <c r="K95" s="900" t="s">
        <v>228</v>
      </c>
      <c r="L95" s="933" t="s">
        <v>239</v>
      </c>
      <c r="M95" s="934" t="s">
        <v>229</v>
      </c>
      <c r="N95" s="1350" t="s">
        <v>264</v>
      </c>
      <c r="O95" s="1350"/>
      <c r="P95" s="1359"/>
      <c r="Q95" s="1360"/>
      <c r="R95" s="943"/>
      <c r="S95" s="884"/>
      <c r="T95" s="818"/>
      <c r="U95" s="753"/>
    </row>
    <row r="96" spans="1:44" s="93" customFormat="1" ht="13.5" customHeight="1" x14ac:dyDescent="0.25">
      <c r="A96" s="183">
        <f ca="1">Параметры!B4-Параметры!B7+1</f>
        <v>17</v>
      </c>
      <c r="B96" s="94"/>
      <c r="C96" s="492" t="s">
        <v>15</v>
      </c>
      <c r="D96" s="492" t="s">
        <v>17</v>
      </c>
      <c r="E96" s="909"/>
      <c r="F96" s="926"/>
      <c r="G96" s="902" t="s">
        <v>238</v>
      </c>
      <c r="H96" s="909"/>
      <c r="I96" s="926"/>
      <c r="J96" s="902" t="s">
        <v>238</v>
      </c>
      <c r="K96" s="911"/>
      <c r="L96" s="935" t="s">
        <v>263</v>
      </c>
      <c r="M96" s="936" t="s">
        <v>56</v>
      </c>
      <c r="N96" s="497" t="s">
        <v>192</v>
      </c>
      <c r="O96" s="917" t="s">
        <v>9</v>
      </c>
      <c r="P96" s="918" t="s">
        <v>240</v>
      </c>
      <c r="Q96" s="914" t="s">
        <v>9</v>
      </c>
      <c r="R96" s="943"/>
      <c r="S96" s="884"/>
      <c r="T96" s="818"/>
      <c r="U96" s="753"/>
    </row>
    <row r="97" spans="1:21" s="91" customFormat="1" ht="7.5" customHeight="1" thickBot="1" x14ac:dyDescent="0.3">
      <c r="A97" s="98">
        <f ca="1">IF(A95=A96,0,1)</f>
        <v>0</v>
      </c>
      <c r="B97" s="92"/>
      <c r="C97" s="499"/>
      <c r="D97" s="500"/>
      <c r="E97" s="910"/>
      <c r="F97" s="927"/>
      <c r="G97" s="903"/>
      <c r="H97" s="910"/>
      <c r="I97" s="927"/>
      <c r="J97" s="903"/>
      <c r="K97" s="912"/>
      <c r="L97" s="937"/>
      <c r="M97" s="938"/>
      <c r="N97" s="504"/>
      <c r="O97" s="919"/>
      <c r="P97" s="920"/>
      <c r="Q97" s="611"/>
      <c r="R97" s="944"/>
      <c r="S97" s="885"/>
      <c r="T97" s="816"/>
      <c r="U97" s="751"/>
    </row>
    <row r="98" spans="1:21" s="90" customFormat="1" ht="15" customHeight="1" x14ac:dyDescent="0.25">
      <c r="A98" s="97"/>
      <c r="B98" s="95"/>
      <c r="C98" s="514">
        <v>1</v>
      </c>
      <c r="D98" s="515">
        <f>VLOOKUP(C98,__Периоды,2,0)</f>
        <v>40909</v>
      </c>
      <c r="E98" s="583">
        <f t="shared" ref="E98:E110" si="42">VLOOKUP(C98,__Периоды,4,0)</f>
        <v>0</v>
      </c>
      <c r="F98" s="928">
        <f t="shared" ref="F98:F114" si="43">I34</f>
        <v>42560</v>
      </c>
      <c r="G98" s="904"/>
      <c r="H98" s="583">
        <f t="shared" ref="H98:H110" si="44">VLOOKUP(C98,__Периоды,3,0)</f>
        <v>0.54</v>
      </c>
      <c r="I98" s="931">
        <f t="shared" ref="I98:I110" si="45">F98*H98</f>
        <v>22982.400000000001</v>
      </c>
      <c r="J98" s="904"/>
      <c r="K98" s="913">
        <f t="shared" ref="K98:K110" si="46">VLOOKUP(C98,__Периоды,10,0)</f>
        <v>0</v>
      </c>
      <c r="L98" s="939">
        <f t="shared" ref="L98" si="47">I98*K98</f>
        <v>0</v>
      </c>
      <c r="M98" s="940">
        <f>I98 + L98</f>
        <v>22982.400000000001</v>
      </c>
      <c r="N98" s="875"/>
      <c r="O98" s="921"/>
      <c r="P98" s="922"/>
      <c r="Q98" s="915"/>
      <c r="R98" s="850"/>
      <c r="S98" s="883"/>
      <c r="T98" s="817"/>
      <c r="U98" s="752"/>
    </row>
    <row r="99" spans="1:21" s="90" customFormat="1" ht="15" customHeight="1" x14ac:dyDescent="0.25">
      <c r="A99" s="97"/>
      <c r="B99" s="95"/>
      <c r="C99" s="514">
        <f t="shared" ref="C99:C114" si="48">C98+1</f>
        <v>2</v>
      </c>
      <c r="D99" s="515">
        <f>VLOOKUP(C99,__Периоды,2,0)</f>
        <v>41275</v>
      </c>
      <c r="E99" s="583">
        <f t="shared" si="42"/>
        <v>0</v>
      </c>
      <c r="F99" s="928">
        <f t="shared" si="43"/>
        <v>42560</v>
      </c>
      <c r="G99" s="904">
        <f t="shared" ref="G99:G110" si="49">F99/$F$98 - 1</f>
        <v>0</v>
      </c>
      <c r="H99" s="583">
        <f t="shared" si="44"/>
        <v>0.56000000000000005</v>
      </c>
      <c r="I99" s="931">
        <f t="shared" si="45"/>
        <v>23833.600000000002</v>
      </c>
      <c r="J99" s="904">
        <f t="shared" ref="J99:J110" si="50">I99/$I$98 - 1</f>
        <v>3.7037037037036979E-2</v>
      </c>
      <c r="K99" s="913">
        <f t="shared" si="46"/>
        <v>0</v>
      </c>
      <c r="L99" s="939">
        <f t="shared" ref="L99:L109" si="51">ROUND(I99*K99,2)</f>
        <v>0</v>
      </c>
      <c r="M99" s="940">
        <f t="shared" ref="M99:M109" si="52">I99 + L99</f>
        <v>23833.600000000002</v>
      </c>
      <c r="N99" s="875">
        <f t="shared" ref="N99:N110" si="53">M99-M98</f>
        <v>851.20000000000073</v>
      </c>
      <c r="O99" s="921">
        <f t="shared" ref="O99:O110" si="54">N99/M98</f>
        <v>3.703703703703707E-2</v>
      </c>
      <c r="P99" s="922">
        <f t="shared" ref="P99:P110" si="55">M99 -$M$98</f>
        <v>851.20000000000073</v>
      </c>
      <c r="Q99" s="915">
        <f t="shared" ref="Q99:Q110" si="56">P99/$M$98</f>
        <v>3.703703703703707E-2</v>
      </c>
      <c r="R99" s="850"/>
      <c r="S99" s="883"/>
      <c r="T99" s="817"/>
      <c r="U99" s="752"/>
    </row>
    <row r="100" spans="1:21" s="90" customFormat="1" ht="15" customHeight="1" x14ac:dyDescent="0.25">
      <c r="A100" s="97"/>
      <c r="B100" s="95"/>
      <c r="C100" s="514">
        <f t="shared" si="48"/>
        <v>3</v>
      </c>
      <c r="D100" s="515">
        <f t="shared" ref="D100:D110" si="57">VLOOKUP(C100,__Периоды,2,0)</f>
        <v>41548</v>
      </c>
      <c r="E100" s="583">
        <f t="shared" si="42"/>
        <v>0</v>
      </c>
      <c r="F100" s="928">
        <f t="shared" si="43"/>
        <v>42560</v>
      </c>
      <c r="G100" s="904">
        <f t="shared" si="49"/>
        <v>0</v>
      </c>
      <c r="H100" s="583">
        <f t="shared" si="44"/>
        <v>0.58050000000000002</v>
      </c>
      <c r="I100" s="931">
        <f t="shared" si="45"/>
        <v>24706.080000000002</v>
      </c>
      <c r="J100" s="904">
        <f t="shared" si="50"/>
        <v>7.4999999999999956E-2</v>
      </c>
      <c r="K100" s="913">
        <f t="shared" si="46"/>
        <v>0</v>
      </c>
      <c r="L100" s="939">
        <f t="shared" si="51"/>
        <v>0</v>
      </c>
      <c r="M100" s="940">
        <f t="shared" si="52"/>
        <v>24706.080000000002</v>
      </c>
      <c r="N100" s="875">
        <f t="shared" si="53"/>
        <v>872.47999999999956</v>
      </c>
      <c r="O100" s="921">
        <f t="shared" si="54"/>
        <v>3.6607142857142838E-2</v>
      </c>
      <c r="P100" s="922">
        <f t="shared" si="55"/>
        <v>1723.6800000000003</v>
      </c>
      <c r="Q100" s="915">
        <f t="shared" si="56"/>
        <v>7.5000000000000011E-2</v>
      </c>
      <c r="R100" s="850"/>
      <c r="S100" s="883"/>
      <c r="T100" s="817"/>
      <c r="U100" s="752"/>
    </row>
    <row r="101" spans="1:21" s="90" customFormat="1" ht="15" customHeight="1" x14ac:dyDescent="0.25">
      <c r="A101" s="97"/>
      <c r="B101" s="95"/>
      <c r="C101" s="514">
        <f t="shared" si="48"/>
        <v>4</v>
      </c>
      <c r="D101" s="515">
        <f t="shared" si="57"/>
        <v>41640</v>
      </c>
      <c r="E101" s="583">
        <f t="shared" si="42"/>
        <v>0</v>
      </c>
      <c r="F101" s="928">
        <f t="shared" si="43"/>
        <v>42560</v>
      </c>
      <c r="G101" s="904">
        <f t="shared" si="49"/>
        <v>0</v>
      </c>
      <c r="H101" s="583">
        <f t="shared" si="44"/>
        <v>0.60050000000000003</v>
      </c>
      <c r="I101" s="931">
        <f t="shared" si="45"/>
        <v>25557.280000000002</v>
      </c>
      <c r="J101" s="904">
        <f t="shared" si="50"/>
        <v>0.11203703703703716</v>
      </c>
      <c r="K101" s="913">
        <f t="shared" si="46"/>
        <v>0</v>
      </c>
      <c r="L101" s="939">
        <f t="shared" si="51"/>
        <v>0</v>
      </c>
      <c r="M101" s="940">
        <f t="shared" si="52"/>
        <v>25557.280000000002</v>
      </c>
      <c r="N101" s="875">
        <f t="shared" si="53"/>
        <v>851.20000000000073</v>
      </c>
      <c r="O101" s="921">
        <f t="shared" si="54"/>
        <v>3.4453057708871693E-2</v>
      </c>
      <c r="P101" s="922">
        <f t="shared" si="55"/>
        <v>2574.880000000001</v>
      </c>
      <c r="Q101" s="915">
        <f t="shared" si="56"/>
        <v>0.11203703703703707</v>
      </c>
      <c r="R101" s="850"/>
      <c r="S101" s="883"/>
      <c r="T101" s="817"/>
      <c r="U101" s="752"/>
    </row>
    <row r="102" spans="1:21" s="90" customFormat="1" ht="15" customHeight="1" x14ac:dyDescent="0.25">
      <c r="A102" s="97"/>
      <c r="B102" s="95"/>
      <c r="C102" s="514">
        <f t="shared" si="48"/>
        <v>5</v>
      </c>
      <c r="D102" s="515">
        <f t="shared" si="57"/>
        <v>41913</v>
      </c>
      <c r="E102" s="583">
        <f t="shared" si="42"/>
        <v>0</v>
      </c>
      <c r="F102" s="928">
        <f t="shared" si="43"/>
        <v>42560</v>
      </c>
      <c r="G102" s="904">
        <f t="shared" si="49"/>
        <v>0</v>
      </c>
      <c r="H102" s="583">
        <f t="shared" si="44"/>
        <v>0.62119999999999997</v>
      </c>
      <c r="I102" s="931">
        <f t="shared" si="45"/>
        <v>26438.271999999997</v>
      </c>
      <c r="J102" s="904">
        <f t="shared" si="50"/>
        <v>0.15037037037037027</v>
      </c>
      <c r="K102" s="913">
        <f t="shared" si="46"/>
        <v>0</v>
      </c>
      <c r="L102" s="939">
        <f t="shared" si="51"/>
        <v>0</v>
      </c>
      <c r="M102" s="940">
        <f t="shared" si="52"/>
        <v>26438.271999999997</v>
      </c>
      <c r="N102" s="875">
        <f t="shared" si="53"/>
        <v>880.99199999999473</v>
      </c>
      <c r="O102" s="921">
        <f t="shared" si="54"/>
        <v>3.4471273938384471E-2</v>
      </c>
      <c r="P102" s="922">
        <f t="shared" si="55"/>
        <v>3455.8719999999958</v>
      </c>
      <c r="Q102" s="915">
        <f t="shared" si="56"/>
        <v>0.15037037037037018</v>
      </c>
      <c r="R102" s="850"/>
      <c r="S102" s="883"/>
      <c r="T102" s="817"/>
      <c r="U102" s="752"/>
    </row>
    <row r="103" spans="1:21" s="90" customFormat="1" ht="15" customHeight="1" x14ac:dyDescent="0.25">
      <c r="A103" s="97"/>
      <c r="B103" s="95"/>
      <c r="C103" s="514">
        <f t="shared" si="48"/>
        <v>6</v>
      </c>
      <c r="D103" s="515">
        <f t="shared" si="57"/>
        <v>42278</v>
      </c>
      <c r="E103" s="583">
        <f t="shared" si="42"/>
        <v>0</v>
      </c>
      <c r="F103" s="928">
        <f t="shared" si="43"/>
        <v>42560</v>
      </c>
      <c r="G103" s="904">
        <f t="shared" si="49"/>
        <v>0</v>
      </c>
      <c r="H103" s="583">
        <f t="shared" si="44"/>
        <v>0.66779999999999995</v>
      </c>
      <c r="I103" s="931">
        <f t="shared" si="45"/>
        <v>28421.567999999999</v>
      </c>
      <c r="J103" s="904">
        <f t="shared" si="50"/>
        <v>0.23666666666666658</v>
      </c>
      <c r="K103" s="913">
        <f t="shared" si="46"/>
        <v>0</v>
      </c>
      <c r="L103" s="939">
        <f t="shared" si="51"/>
        <v>0</v>
      </c>
      <c r="M103" s="940">
        <f t="shared" si="52"/>
        <v>28421.567999999999</v>
      </c>
      <c r="N103" s="875">
        <f t="shared" si="53"/>
        <v>1983.2960000000021</v>
      </c>
      <c r="O103" s="921">
        <f t="shared" si="54"/>
        <v>7.5016097875080581E-2</v>
      </c>
      <c r="P103" s="922">
        <f t="shared" si="55"/>
        <v>5439.1679999999978</v>
      </c>
      <c r="Q103" s="915">
        <f t="shared" si="56"/>
        <v>0.23666666666666655</v>
      </c>
      <c r="R103" s="850"/>
      <c r="S103" s="883"/>
      <c r="T103" s="817"/>
      <c r="U103" s="752"/>
    </row>
    <row r="104" spans="1:21" s="90" customFormat="1" ht="15" customHeight="1" x14ac:dyDescent="0.25">
      <c r="A104" s="97"/>
      <c r="B104" s="95"/>
      <c r="C104" s="514">
        <f t="shared" si="48"/>
        <v>7</v>
      </c>
      <c r="D104" s="515">
        <f t="shared" si="57"/>
        <v>42401</v>
      </c>
      <c r="E104" s="583">
        <f t="shared" si="42"/>
        <v>0</v>
      </c>
      <c r="F104" s="928">
        <f t="shared" si="43"/>
        <v>42560</v>
      </c>
      <c r="G104" s="904">
        <f t="shared" si="49"/>
        <v>0</v>
      </c>
      <c r="H104" s="583">
        <f t="shared" si="44"/>
        <v>0.69450000000000001</v>
      </c>
      <c r="I104" s="931">
        <f t="shared" si="45"/>
        <v>29557.920000000002</v>
      </c>
      <c r="J104" s="904">
        <f t="shared" si="50"/>
        <v>0.2861111111111112</v>
      </c>
      <c r="K104" s="913">
        <f t="shared" si="46"/>
        <v>0</v>
      </c>
      <c r="L104" s="939">
        <f t="shared" si="51"/>
        <v>0</v>
      </c>
      <c r="M104" s="940">
        <f t="shared" si="52"/>
        <v>29557.920000000002</v>
      </c>
      <c r="N104" s="875">
        <f t="shared" si="53"/>
        <v>1136.3520000000026</v>
      </c>
      <c r="O104" s="921">
        <f t="shared" si="54"/>
        <v>3.9982030548068377E-2</v>
      </c>
      <c r="P104" s="922">
        <f t="shared" si="55"/>
        <v>6575.52</v>
      </c>
      <c r="Q104" s="915">
        <f t="shared" si="56"/>
        <v>0.28611111111111109</v>
      </c>
      <c r="R104" s="850"/>
      <c r="S104" s="883"/>
      <c r="T104" s="817"/>
      <c r="U104" s="752"/>
    </row>
    <row r="105" spans="1:21" s="90" customFormat="1" ht="15" customHeight="1" x14ac:dyDescent="0.25">
      <c r="A105" s="97"/>
      <c r="B105" s="95"/>
      <c r="C105" s="514">
        <f t="shared" si="48"/>
        <v>8</v>
      </c>
      <c r="D105" s="515">
        <f t="shared" si="57"/>
        <v>42767</v>
      </c>
      <c r="E105" s="583">
        <f t="shared" si="42"/>
        <v>0</v>
      </c>
      <c r="F105" s="928">
        <f t="shared" si="43"/>
        <v>42560</v>
      </c>
      <c r="G105" s="904">
        <f t="shared" si="49"/>
        <v>0</v>
      </c>
      <c r="H105" s="583">
        <f t="shared" si="44"/>
        <v>0.72230000000000005</v>
      </c>
      <c r="I105" s="931">
        <f t="shared" si="45"/>
        <v>30741.088000000003</v>
      </c>
      <c r="J105" s="904">
        <f t="shared" si="50"/>
        <v>0.33759259259259267</v>
      </c>
      <c r="K105" s="913">
        <f t="shared" si="46"/>
        <v>0</v>
      </c>
      <c r="L105" s="939">
        <f t="shared" si="51"/>
        <v>0</v>
      </c>
      <c r="M105" s="940">
        <f t="shared" si="52"/>
        <v>30741.088000000003</v>
      </c>
      <c r="N105" s="875">
        <f t="shared" si="53"/>
        <v>1183.1680000000015</v>
      </c>
      <c r="O105" s="921">
        <f t="shared" si="54"/>
        <v>4.0028797696184351E-2</v>
      </c>
      <c r="P105" s="922">
        <f t="shared" si="55"/>
        <v>7758.6880000000019</v>
      </c>
      <c r="Q105" s="915">
        <f t="shared" si="56"/>
        <v>0.33759259259259267</v>
      </c>
      <c r="R105" s="850"/>
      <c r="S105" s="883"/>
      <c r="T105" s="817"/>
      <c r="U105" s="752"/>
    </row>
    <row r="106" spans="1:21" s="90" customFormat="1" ht="15" customHeight="1" x14ac:dyDescent="0.25">
      <c r="A106" s="97"/>
      <c r="B106" s="95"/>
      <c r="C106" s="514">
        <f t="shared" si="48"/>
        <v>9</v>
      </c>
      <c r="D106" s="515">
        <f t="shared" si="57"/>
        <v>43101</v>
      </c>
      <c r="E106" s="583">
        <f t="shared" si="42"/>
        <v>0.04</v>
      </c>
      <c r="F106" s="928">
        <f t="shared" si="43"/>
        <v>44262.400000000001</v>
      </c>
      <c r="G106" s="904">
        <f t="shared" si="49"/>
        <v>4.0000000000000036E-2</v>
      </c>
      <c r="H106" s="583">
        <f t="shared" si="44"/>
        <v>0.72230000000000005</v>
      </c>
      <c r="I106" s="931">
        <f t="shared" si="45"/>
        <v>31970.731520000005</v>
      </c>
      <c r="J106" s="904">
        <f t="shared" si="50"/>
        <v>0.3910962962962965</v>
      </c>
      <c r="K106" s="913">
        <f t="shared" si="46"/>
        <v>0</v>
      </c>
      <c r="L106" s="939">
        <f t="shared" si="51"/>
        <v>0</v>
      </c>
      <c r="M106" s="940">
        <f t="shared" si="52"/>
        <v>31970.731520000005</v>
      </c>
      <c r="N106" s="875">
        <f t="shared" si="53"/>
        <v>1229.6435200000014</v>
      </c>
      <c r="O106" s="921">
        <f t="shared" si="54"/>
        <v>4.0000000000000042E-2</v>
      </c>
      <c r="P106" s="922">
        <f t="shared" si="55"/>
        <v>8988.3315200000034</v>
      </c>
      <c r="Q106" s="915">
        <f t="shared" si="56"/>
        <v>0.39109629629629644</v>
      </c>
      <c r="R106" s="850"/>
      <c r="S106" s="883"/>
      <c r="T106" s="817"/>
      <c r="U106" s="752"/>
    </row>
    <row r="107" spans="1:21" s="90" customFormat="1" ht="15" customHeight="1" x14ac:dyDescent="0.25">
      <c r="A107" s="97"/>
      <c r="B107" s="95"/>
      <c r="C107" s="514">
        <f t="shared" si="48"/>
        <v>10</v>
      </c>
      <c r="D107" s="515">
        <f t="shared" si="57"/>
        <v>43739</v>
      </c>
      <c r="E107" s="583">
        <f t="shared" si="42"/>
        <v>4.2999999999999997E-2</v>
      </c>
      <c r="F107" s="928">
        <f t="shared" si="43"/>
        <v>46166.399999999994</v>
      </c>
      <c r="G107" s="904">
        <f t="shared" si="49"/>
        <v>8.4736842105262999E-2</v>
      </c>
      <c r="H107" s="583">
        <f t="shared" si="44"/>
        <v>0.73680000000000001</v>
      </c>
      <c r="I107" s="931">
        <f t="shared" si="45"/>
        <v>34015.403519999993</v>
      </c>
      <c r="J107" s="904">
        <f t="shared" si="50"/>
        <v>0.48006315789473653</v>
      </c>
      <c r="K107" s="913">
        <f t="shared" si="46"/>
        <v>0</v>
      </c>
      <c r="L107" s="939">
        <f t="shared" si="51"/>
        <v>0</v>
      </c>
      <c r="M107" s="940">
        <f t="shared" si="52"/>
        <v>34015.403519999993</v>
      </c>
      <c r="N107" s="875">
        <f t="shared" si="53"/>
        <v>2044.6719999999877</v>
      </c>
      <c r="O107" s="921">
        <f t="shared" si="54"/>
        <v>6.3954495339617029E-2</v>
      </c>
      <c r="P107" s="922">
        <f t="shared" si="55"/>
        <v>11033.003519999991</v>
      </c>
      <c r="Q107" s="915">
        <f t="shared" si="56"/>
        <v>0.48006315789473641</v>
      </c>
      <c r="R107" s="850"/>
      <c r="S107" s="883"/>
      <c r="T107" s="817"/>
      <c r="U107" s="752"/>
    </row>
    <row r="108" spans="1:21" s="90" customFormat="1" ht="15" customHeight="1" x14ac:dyDescent="0.25">
      <c r="A108" s="97"/>
      <c r="B108" s="95"/>
      <c r="C108" s="514">
        <f t="shared" si="48"/>
        <v>11</v>
      </c>
      <c r="D108" s="515">
        <f t="shared" si="57"/>
        <v>44105</v>
      </c>
      <c r="E108" s="583">
        <f t="shared" si="42"/>
        <v>0.03</v>
      </c>
      <c r="F108" s="928">
        <f t="shared" si="43"/>
        <v>47552.959999999999</v>
      </c>
      <c r="G108" s="904">
        <f t="shared" si="49"/>
        <v>0.11731578947368426</v>
      </c>
      <c r="H108" s="583">
        <f t="shared" si="44"/>
        <v>0.73680000000000001</v>
      </c>
      <c r="I108" s="931">
        <f t="shared" si="45"/>
        <v>35037.020927999998</v>
      </c>
      <c r="J108" s="904">
        <f t="shared" si="50"/>
        <v>0.52451532163742676</v>
      </c>
      <c r="K108" s="913">
        <f t="shared" si="46"/>
        <v>0</v>
      </c>
      <c r="L108" s="939">
        <f t="shared" si="51"/>
        <v>0</v>
      </c>
      <c r="M108" s="940">
        <f t="shared" si="52"/>
        <v>35037.020927999998</v>
      </c>
      <c r="N108" s="875">
        <f t="shared" si="53"/>
        <v>1021.6174080000055</v>
      </c>
      <c r="O108" s="921">
        <f t="shared" si="54"/>
        <v>3.0033964095099636E-2</v>
      </c>
      <c r="P108" s="922">
        <f t="shared" si="55"/>
        <v>12054.620927999997</v>
      </c>
      <c r="Q108" s="915">
        <f t="shared" si="56"/>
        <v>0.52451532163742676</v>
      </c>
      <c r="R108" s="850"/>
      <c r="S108" s="883"/>
      <c r="T108" s="817"/>
      <c r="U108" s="752"/>
    </row>
    <row r="109" spans="1:21" s="90" customFormat="1" ht="15" customHeight="1" x14ac:dyDescent="0.25">
      <c r="A109" s="97"/>
      <c r="B109" s="95"/>
      <c r="C109" s="514">
        <f t="shared" si="48"/>
        <v>12</v>
      </c>
      <c r="D109" s="515">
        <f t="shared" si="57"/>
        <v>44470</v>
      </c>
      <c r="E109" s="583">
        <f t="shared" si="42"/>
        <v>3.6999999999999998E-2</v>
      </c>
      <c r="F109" s="928">
        <f t="shared" si="43"/>
        <v>49313.599999999999</v>
      </c>
      <c r="G109" s="904">
        <f t="shared" si="49"/>
        <v>0.15868421052631576</v>
      </c>
      <c r="H109" s="583">
        <f t="shared" si="44"/>
        <v>0.73680000000000001</v>
      </c>
      <c r="I109" s="931">
        <f t="shared" si="45"/>
        <v>36334.260479999997</v>
      </c>
      <c r="J109" s="904">
        <f t="shared" si="50"/>
        <v>0.58096023391812834</v>
      </c>
      <c r="K109" s="913">
        <f t="shared" si="46"/>
        <v>0</v>
      </c>
      <c r="L109" s="939">
        <f t="shared" si="51"/>
        <v>0</v>
      </c>
      <c r="M109" s="940">
        <f t="shared" si="52"/>
        <v>36334.260479999997</v>
      </c>
      <c r="N109" s="875">
        <f t="shared" si="53"/>
        <v>1297.2395519999991</v>
      </c>
      <c r="O109" s="921">
        <f t="shared" si="54"/>
        <v>3.7024824532479135E-2</v>
      </c>
      <c r="P109" s="922">
        <f t="shared" si="55"/>
        <v>13351.860479999996</v>
      </c>
      <c r="Q109" s="915">
        <f t="shared" si="56"/>
        <v>0.58096023391812845</v>
      </c>
      <c r="R109" s="850"/>
      <c r="S109" s="883"/>
      <c r="T109" s="817"/>
      <c r="U109" s="752"/>
    </row>
    <row r="110" spans="1:21" s="90" customFormat="1" ht="15" customHeight="1" x14ac:dyDescent="0.25">
      <c r="A110" s="97"/>
      <c r="B110" s="95"/>
      <c r="C110" s="514">
        <f t="shared" si="48"/>
        <v>13</v>
      </c>
      <c r="D110" s="515">
        <f t="shared" si="57"/>
        <v>44562</v>
      </c>
      <c r="E110" s="583">
        <f t="shared" si="42"/>
        <v>0</v>
      </c>
      <c r="F110" s="928">
        <f t="shared" si="43"/>
        <v>49313.599999999999</v>
      </c>
      <c r="G110" s="904">
        <f t="shared" si="49"/>
        <v>0.15868421052631576</v>
      </c>
      <c r="H110" s="583">
        <f t="shared" si="44"/>
        <v>0.74</v>
      </c>
      <c r="I110" s="931">
        <f t="shared" si="45"/>
        <v>36492.063999999998</v>
      </c>
      <c r="J110" s="904">
        <f t="shared" si="50"/>
        <v>0.58782651072124747</v>
      </c>
      <c r="K110" s="913">
        <f t="shared" si="46"/>
        <v>8.5999999999999993E-2</v>
      </c>
      <c r="L110" s="939">
        <f>ROUND(I110*K110,2)</f>
        <v>3138.32</v>
      </c>
      <c r="M110" s="940">
        <f>I110 + L110</f>
        <v>39630.383999999998</v>
      </c>
      <c r="N110" s="875">
        <f t="shared" si="53"/>
        <v>3296.123520000001</v>
      </c>
      <c r="O110" s="921">
        <f t="shared" si="54"/>
        <v>9.0716681073344949E-2</v>
      </c>
      <c r="P110" s="922">
        <f t="shared" si="55"/>
        <v>16647.983999999997</v>
      </c>
      <c r="Q110" s="915">
        <f t="shared" si="56"/>
        <v>0.72437969924812007</v>
      </c>
      <c r="R110" s="850"/>
      <c r="S110" s="532"/>
      <c r="T110" s="817"/>
      <c r="U110" s="752"/>
    </row>
    <row r="111" spans="1:21" s="90" customFormat="1" ht="15" customHeight="1" x14ac:dyDescent="0.25">
      <c r="A111" s="97"/>
      <c r="B111" s="95"/>
      <c r="C111" s="514">
        <f t="shared" si="48"/>
        <v>14</v>
      </c>
      <c r="D111" s="515">
        <f t="shared" ref="D111:D113" si="58">VLOOKUP(C111,__Периоды,2,0)</f>
        <v>44835</v>
      </c>
      <c r="E111" s="583">
        <f t="shared" ref="E111:E113" si="59">VLOOKUP(C111,__Периоды,4,0)</f>
        <v>0.04</v>
      </c>
      <c r="F111" s="928">
        <f t="shared" si="43"/>
        <v>51287.040000000001</v>
      </c>
      <c r="G111" s="904">
        <f t="shared" ref="G111:G113" si="60">F111/$F$98 - 1</f>
        <v>0.20505263157894738</v>
      </c>
      <c r="H111" s="583">
        <f t="shared" ref="H111:H113" si="61">VLOOKUP(C111,__Периоды,3,0)</f>
        <v>0.77410000000000001</v>
      </c>
      <c r="I111" s="931">
        <f t="shared" ref="I111:I113" si="62">F111*H111</f>
        <v>39701.297663999998</v>
      </c>
      <c r="J111" s="904">
        <f t="shared" ref="J111:J113" si="63">I111/$I$98 - 1</f>
        <v>0.72746526315789461</v>
      </c>
      <c r="K111" s="913">
        <f t="shared" ref="K111:K113" si="64">VLOOKUP(C111,__Периоды,10,0)</f>
        <v>0</v>
      </c>
      <c r="L111" s="939">
        <f t="shared" ref="L111:L113" si="65">ROUND(I111*K111,2)</f>
        <v>0</v>
      </c>
      <c r="M111" s="940">
        <f t="shared" ref="M111:M113" si="66">I111 + L111</f>
        <v>39701.297663999998</v>
      </c>
      <c r="N111" s="875">
        <f t="shared" ref="N111:N113" si="67">M111-M110</f>
        <v>70.913663999999699</v>
      </c>
      <c r="O111" s="921">
        <f t="shared" ref="O111:O113" si="68">N111/M110</f>
        <v>1.7893761513892901E-3</v>
      </c>
      <c r="P111" s="922">
        <f t="shared" ref="P111:P113" si="69">M111 -$M$98</f>
        <v>16718.897663999996</v>
      </c>
      <c r="Q111" s="915">
        <f t="shared" ref="Q111:Q113" si="70">P111/$M$98</f>
        <v>0.7274652631578945</v>
      </c>
      <c r="R111" s="850"/>
      <c r="S111" s="532"/>
      <c r="T111" s="817"/>
      <c r="U111" s="752"/>
    </row>
    <row r="112" spans="1:21" s="90" customFormat="1" ht="15" customHeight="1" x14ac:dyDescent="0.25">
      <c r="A112" s="97"/>
      <c r="B112" s="95"/>
      <c r="C112" s="514">
        <f t="shared" si="48"/>
        <v>15</v>
      </c>
      <c r="D112" s="515">
        <f t="shared" si="58"/>
        <v>45200</v>
      </c>
      <c r="E112" s="583">
        <f t="shared" si="59"/>
        <v>0.04</v>
      </c>
      <c r="F112" s="928">
        <f t="shared" si="43"/>
        <v>53340</v>
      </c>
      <c r="G112" s="904">
        <f t="shared" si="60"/>
        <v>0.25328947368421062</v>
      </c>
      <c r="H112" s="583">
        <f t="shared" si="61"/>
        <v>0.77410000000000001</v>
      </c>
      <c r="I112" s="931">
        <f t="shared" si="62"/>
        <v>41290.493999999999</v>
      </c>
      <c r="J112" s="904">
        <f t="shared" si="63"/>
        <v>0.79661366959064317</v>
      </c>
      <c r="K112" s="913">
        <f t="shared" si="64"/>
        <v>0</v>
      </c>
      <c r="L112" s="939">
        <f t="shared" si="65"/>
        <v>0</v>
      </c>
      <c r="M112" s="940">
        <f t="shared" si="66"/>
        <v>41290.493999999999</v>
      </c>
      <c r="N112" s="875">
        <f t="shared" si="67"/>
        <v>1589.1963360000009</v>
      </c>
      <c r="O112" s="921">
        <f t="shared" si="68"/>
        <v>4.0028825995807149E-2</v>
      </c>
      <c r="P112" s="922">
        <f t="shared" si="69"/>
        <v>18308.093999999997</v>
      </c>
      <c r="Q112" s="915">
        <f t="shared" si="70"/>
        <v>0.79661366959064306</v>
      </c>
      <c r="R112" s="850"/>
      <c r="S112" s="532"/>
      <c r="T112" s="817"/>
      <c r="U112" s="752"/>
    </row>
    <row r="113" spans="1:21" s="90" customFormat="1" ht="15" customHeight="1" x14ac:dyDescent="0.25">
      <c r="A113" s="97"/>
      <c r="B113" s="95"/>
      <c r="C113" s="514">
        <f t="shared" si="48"/>
        <v>16</v>
      </c>
      <c r="D113" s="515">
        <f t="shared" si="58"/>
        <v>45292</v>
      </c>
      <c r="E113" s="583" t="str">
        <f t="shared" si="59"/>
        <v/>
      </c>
      <c r="F113" s="928">
        <f t="shared" si="43"/>
        <v>53340</v>
      </c>
      <c r="G113" s="904">
        <f t="shared" si="60"/>
        <v>0.25328947368421062</v>
      </c>
      <c r="H113" s="583">
        <f t="shared" si="61"/>
        <v>0.78</v>
      </c>
      <c r="I113" s="931">
        <f t="shared" si="62"/>
        <v>41605.200000000004</v>
      </c>
      <c r="J113" s="904">
        <f t="shared" si="63"/>
        <v>0.81030701754385981</v>
      </c>
      <c r="K113" s="913">
        <f t="shared" si="64"/>
        <v>0</v>
      </c>
      <c r="L113" s="939">
        <f t="shared" si="65"/>
        <v>0</v>
      </c>
      <c r="M113" s="940">
        <f t="shared" si="66"/>
        <v>41605.200000000004</v>
      </c>
      <c r="N113" s="875">
        <f t="shared" si="67"/>
        <v>314.70600000000559</v>
      </c>
      <c r="O113" s="921">
        <f t="shared" si="68"/>
        <v>7.6217542953108189E-3</v>
      </c>
      <c r="P113" s="922">
        <f t="shared" si="69"/>
        <v>18622.800000000003</v>
      </c>
      <c r="Q113" s="915">
        <f t="shared" si="70"/>
        <v>0.8103070175438597</v>
      </c>
      <c r="R113" s="850"/>
      <c r="S113" s="532"/>
      <c r="T113" s="817"/>
      <c r="U113" s="752"/>
    </row>
    <row r="114" spans="1:21" s="90" customFormat="1" ht="15" customHeight="1" x14ac:dyDescent="0.25">
      <c r="A114" s="97"/>
      <c r="B114" s="95"/>
      <c r="C114" s="514">
        <f t="shared" si="48"/>
        <v>17</v>
      </c>
      <c r="D114" s="515">
        <f t="shared" ref="D114" si="71">VLOOKUP(C114,__Периоды,2,0)</f>
        <v>45566</v>
      </c>
      <c r="E114" s="583">
        <f t="shared" ref="E114" si="72">VLOOKUP(C114,__Периоды,4,0)</f>
        <v>0.04</v>
      </c>
      <c r="F114" s="928">
        <f t="shared" si="43"/>
        <v>55474.720000000001</v>
      </c>
      <c r="G114" s="904">
        <f t="shared" ref="G114" si="73">F114/$F$98 - 1</f>
        <v>0.30344736842105258</v>
      </c>
      <c r="H114" s="583">
        <f t="shared" ref="H114" si="74">VLOOKUP(C114,__Периоды,3,0)</f>
        <v>0.78</v>
      </c>
      <c r="I114" s="931">
        <f t="shared" ref="I114" si="75">F114*H114</f>
        <v>43270.281600000002</v>
      </c>
      <c r="J114" s="904">
        <f t="shared" ref="J114" si="76">I114/$I$98 - 1</f>
        <v>0.88275730994152046</v>
      </c>
      <c r="K114" s="913">
        <f t="shared" ref="K114" si="77">VLOOKUP(C114,__Периоды,10,0)</f>
        <v>0</v>
      </c>
      <c r="L114" s="939">
        <f t="shared" ref="L114" si="78">ROUND(I114*K114,2)</f>
        <v>0</v>
      </c>
      <c r="M114" s="940">
        <f t="shared" ref="M114" si="79">I114 + L114</f>
        <v>43270.281600000002</v>
      </c>
      <c r="N114" s="875">
        <f t="shared" ref="N114" si="80">M114-M113</f>
        <v>1665.0815999999977</v>
      </c>
      <c r="O114" s="921">
        <f t="shared" ref="O114" si="81">N114/M113</f>
        <v>4.0020997375328021E-2</v>
      </c>
      <c r="P114" s="922">
        <f t="shared" ref="P114" si="82">M114 -$M$98</f>
        <v>20287.881600000001</v>
      </c>
      <c r="Q114" s="915">
        <f t="shared" ref="Q114" si="83">P114/$M$98</f>
        <v>0.88275730994152046</v>
      </c>
      <c r="R114" s="850"/>
      <c r="S114" s="532"/>
      <c r="T114" s="817"/>
      <c r="U114" s="752"/>
    </row>
    <row r="115" spans="1:21" s="90" customFormat="1" ht="15" customHeight="1" thickBot="1" x14ac:dyDescent="0.3">
      <c r="A115" s="97"/>
      <c r="B115" s="95"/>
      <c r="C115" s="523"/>
      <c r="D115" s="524"/>
      <c r="E115" s="929"/>
      <c r="F115" s="930"/>
      <c r="G115" s="906"/>
      <c r="H115" s="929"/>
      <c r="I115" s="932"/>
      <c r="J115" s="906"/>
      <c r="K115" s="905"/>
      <c r="L115" s="941"/>
      <c r="M115" s="942"/>
      <c r="N115" s="907"/>
      <c r="O115" s="923"/>
      <c r="P115" s="924"/>
      <c r="Q115" s="916"/>
      <c r="R115" s="850"/>
      <c r="S115" s="532"/>
      <c r="T115" s="817"/>
      <c r="U115" s="752"/>
    </row>
    <row r="116" spans="1:21" s="90" customFormat="1" ht="13.5" customHeight="1" x14ac:dyDescent="0.25">
      <c r="A116" s="97"/>
      <c r="B116" s="95"/>
      <c r="C116" s="487"/>
      <c r="D116" s="531"/>
      <c r="E116" s="532"/>
      <c r="F116" s="532"/>
      <c r="G116" s="487"/>
      <c r="H116" s="487"/>
      <c r="I116" s="487"/>
      <c r="J116" s="486"/>
      <c r="K116" s="487"/>
      <c r="L116" s="487"/>
      <c r="M116" s="488"/>
      <c r="N116" s="489"/>
      <c r="O116" s="487"/>
      <c r="P116" s="487"/>
      <c r="Q116" s="487"/>
      <c r="R116" s="484"/>
      <c r="S116" s="484"/>
      <c r="T116" s="817"/>
      <c r="U116" s="752"/>
    </row>
    <row r="117" spans="1:21" s="91" customFormat="1" ht="13.5" customHeight="1" x14ac:dyDescent="0.25">
      <c r="A117" s="98"/>
      <c r="B117" s="92"/>
      <c r="C117" s="476"/>
      <c r="D117" s="477" t="s">
        <v>230</v>
      </c>
      <c r="E117" s="478"/>
      <c r="F117" s="533" t="str">
        <f ca="1">CONCATENATE(" Суммы выплат военной пенсии  с  01.01.2012"," по ",TEXT(TODAY(),"ДД.ММ.ГГГГ"))</f>
        <v xml:space="preserve"> Суммы выплат военной пенсии  с  01.01.2012 по 13.04.2022</v>
      </c>
      <c r="G117" s="479"/>
      <c r="H117" s="479"/>
      <c r="I117" s="479"/>
      <c r="J117" s="567"/>
      <c r="K117" s="476"/>
      <c r="L117" s="476"/>
      <c r="M117" s="481"/>
      <c r="N117" s="482"/>
      <c r="O117" s="476"/>
      <c r="P117" s="476"/>
      <c r="Q117" s="476"/>
      <c r="R117" s="476"/>
      <c r="S117" s="476"/>
      <c r="T117" s="816"/>
      <c r="U117" s="751"/>
    </row>
    <row r="118" spans="1:21" s="90" customFormat="1" ht="4.5" customHeight="1" thickBot="1" x14ac:dyDescent="0.3">
      <c r="A118" s="179" t="s">
        <v>147</v>
      </c>
      <c r="B118" s="95"/>
      <c r="C118" s="484"/>
      <c r="D118" s="484"/>
      <c r="E118" s="485"/>
      <c r="F118" s="485"/>
      <c r="G118" s="484"/>
      <c r="H118" s="484"/>
      <c r="I118" s="484"/>
      <c r="J118" s="486"/>
      <c r="K118" s="487"/>
      <c r="L118" s="487"/>
      <c r="M118" s="488"/>
      <c r="N118" s="489"/>
      <c r="O118" s="487"/>
      <c r="P118" s="487"/>
      <c r="Q118" s="487"/>
      <c r="R118" s="487"/>
      <c r="S118" s="484"/>
      <c r="T118" s="817"/>
      <c r="U118" s="752"/>
    </row>
    <row r="119" spans="1:21" s="90" customFormat="1" ht="13.5" customHeight="1" x14ac:dyDescent="0.25">
      <c r="A119" s="181">
        <f>COUNT(C122:C135)</f>
        <v>13</v>
      </c>
      <c r="B119" s="95"/>
      <c r="C119" s="568" t="s">
        <v>2</v>
      </c>
      <c r="D119" s="1351" t="s">
        <v>10</v>
      </c>
      <c r="E119" s="1352"/>
      <c r="F119" s="568" t="s">
        <v>25</v>
      </c>
      <c r="G119" s="569" t="s">
        <v>16</v>
      </c>
      <c r="H119" s="568" t="s">
        <v>16</v>
      </c>
      <c r="I119" s="568" t="s">
        <v>16</v>
      </c>
      <c r="J119" s="570" t="s">
        <v>175</v>
      </c>
      <c r="K119" s="571"/>
      <c r="L119" s="537"/>
      <c r="M119" s="886"/>
      <c r="N119" s="886"/>
      <c r="O119" s="487"/>
      <c r="P119" s="487"/>
      <c r="Q119" s="487"/>
      <c r="R119" s="487"/>
      <c r="S119" s="484"/>
      <c r="T119" s="817"/>
      <c r="U119" s="752"/>
    </row>
    <row r="120" spans="1:21" s="90" customFormat="1" ht="13.5" customHeight="1" x14ac:dyDescent="0.25">
      <c r="A120" s="183">
        <f ca="1">Параметры!B8-Параметры!B7+1</f>
        <v>13</v>
      </c>
      <c r="B120" s="95"/>
      <c r="C120" s="572" t="s">
        <v>15</v>
      </c>
      <c r="D120" s="573" t="s">
        <v>153</v>
      </c>
      <c r="E120" s="574" t="s">
        <v>32</v>
      </c>
      <c r="F120" s="572" t="s">
        <v>11</v>
      </c>
      <c r="G120" s="572" t="s">
        <v>39</v>
      </c>
      <c r="H120" s="572" t="s">
        <v>172</v>
      </c>
      <c r="I120" s="572" t="s">
        <v>154</v>
      </c>
      <c r="J120" s="573" t="s">
        <v>174</v>
      </c>
      <c r="K120" s="574" t="s">
        <v>176</v>
      </c>
      <c r="L120" s="537"/>
      <c r="M120" s="886"/>
      <c r="N120" s="886"/>
      <c r="O120" s="487"/>
      <c r="P120" s="487"/>
      <c r="Q120" s="487"/>
      <c r="R120" s="487"/>
      <c r="S120" s="484"/>
      <c r="T120" s="817"/>
      <c r="U120" s="752"/>
    </row>
    <row r="121" spans="1:21" s="90" customFormat="1" ht="6.75" customHeight="1" thickBot="1" x14ac:dyDescent="0.3">
      <c r="A121" s="98">
        <f ca="1">IF(A119=A120,0,1)</f>
        <v>0</v>
      </c>
      <c r="B121" s="95"/>
      <c r="C121" s="575">
        <v>0</v>
      </c>
      <c r="D121" s="576"/>
      <c r="E121" s="1254"/>
      <c r="F121" s="577"/>
      <c r="G121" s="577"/>
      <c r="H121" s="577"/>
      <c r="I121" s="577"/>
      <c r="J121" s="578"/>
      <c r="K121" s="579"/>
      <c r="L121" s="881"/>
      <c r="M121" s="481"/>
      <c r="N121" s="481"/>
      <c r="O121" s="487"/>
      <c r="P121" s="487"/>
      <c r="Q121" s="487"/>
      <c r="R121" s="487"/>
      <c r="S121" s="484"/>
      <c r="T121" s="817"/>
      <c r="U121" s="752"/>
    </row>
    <row r="122" spans="1:21" s="90" customFormat="1" ht="15" customHeight="1" x14ac:dyDescent="0.25">
      <c r="A122" s="97"/>
      <c r="B122" s="95"/>
      <c r="C122" s="514">
        <f t="shared" ref="C122:C127" si="84">C121+1</f>
        <v>1</v>
      </c>
      <c r="D122" s="457">
        <f t="shared" ref="D122:D130" si="85">VLOOKUP(C122,__Периоды,2,0)</f>
        <v>40909</v>
      </c>
      <c r="E122" s="458">
        <f ca="1">IF(C122&lt;Параметры!B$8,VLOOKUP(C122+1,__Периоды,2,0)-1,Параметры!$J$88)</f>
        <v>41274</v>
      </c>
      <c r="F122" s="1251">
        <f t="shared" ref="F122:F134" ca="1" si="86">VLOOKUP(C122,__Периоды,7,0)</f>
        <v>12</v>
      </c>
      <c r="G122" s="509">
        <f t="shared" ref="G122:G134" ca="1" si="87">ROUND(F98,2)*F122</f>
        <v>510720</v>
      </c>
      <c r="H122" s="509">
        <f t="shared" ref="H122:H134" ca="1" si="88">ROUND(M98,2)*F122</f>
        <v>275788.80000000005</v>
      </c>
      <c r="I122" s="519">
        <f t="shared" ref="I122:I130" ca="1" si="89">IF(H122 &gt;G122,0,G122 - H122)</f>
        <v>234931.19999999995</v>
      </c>
      <c r="J122" s="580">
        <f ca="1">I122/G122</f>
        <v>0.45999999999999991</v>
      </c>
      <c r="K122" s="581">
        <f ca="1">I122/H122</f>
        <v>0.85185185185185153</v>
      </c>
      <c r="L122" s="837"/>
      <c r="M122" s="850"/>
      <c r="N122" s="882"/>
      <c r="O122" s="487"/>
      <c r="P122" s="487"/>
      <c r="Q122" s="487"/>
      <c r="R122" s="487"/>
      <c r="S122" s="484"/>
      <c r="T122" s="817"/>
      <c r="U122" s="752"/>
    </row>
    <row r="123" spans="1:21" s="90" customFormat="1" ht="15" customHeight="1" x14ac:dyDescent="0.25">
      <c r="A123" s="97"/>
      <c r="B123" s="95"/>
      <c r="C123" s="514">
        <f t="shared" si="84"/>
        <v>2</v>
      </c>
      <c r="D123" s="459">
        <f>VLOOKUP(C123,__Периоды,2,0)</f>
        <v>41275</v>
      </c>
      <c r="E123" s="460">
        <f ca="1">IF(C123&lt;Параметры!B$8,VLOOKUP(C123+1,__Периоды,2,0)-1,Параметры!$J$88)</f>
        <v>41547</v>
      </c>
      <c r="F123" s="1251">
        <f t="shared" ca="1" si="86"/>
        <v>9</v>
      </c>
      <c r="G123" s="519">
        <f t="shared" ca="1" si="87"/>
        <v>383040</v>
      </c>
      <c r="H123" s="519">
        <f t="shared" ca="1" si="88"/>
        <v>214502.39999999999</v>
      </c>
      <c r="I123" s="519">
        <f t="shared" ca="1" si="89"/>
        <v>168537.60000000001</v>
      </c>
      <c r="J123" s="583">
        <f t="shared" ref="J123:J128" ca="1" si="90">I123/G123</f>
        <v>0.44</v>
      </c>
      <c r="K123" s="520">
        <f t="shared" ref="K123:K128" ca="1" si="91">I123/H123</f>
        <v>0.78571428571428581</v>
      </c>
      <c r="L123" s="837"/>
      <c r="M123" s="882"/>
      <c r="N123" s="882"/>
      <c r="O123" s="487"/>
      <c r="P123" s="487"/>
      <c r="Q123" s="487"/>
      <c r="R123" s="487"/>
      <c r="S123" s="484"/>
      <c r="T123" s="817"/>
      <c r="U123" s="752"/>
    </row>
    <row r="124" spans="1:21" s="90" customFormat="1" ht="15" customHeight="1" x14ac:dyDescent="0.25">
      <c r="A124" s="97"/>
      <c r="B124" s="95"/>
      <c r="C124" s="514">
        <f t="shared" si="84"/>
        <v>3</v>
      </c>
      <c r="D124" s="459">
        <f t="shared" si="85"/>
        <v>41548</v>
      </c>
      <c r="E124" s="460">
        <f ca="1">IF(C124&lt;Параметры!B$8,VLOOKUP(C124+1,__Периоды,2,0)-1,Параметры!$J$88)</f>
        <v>41639</v>
      </c>
      <c r="F124" s="1251">
        <f t="shared" ca="1" si="86"/>
        <v>3</v>
      </c>
      <c r="G124" s="519">
        <f t="shared" ca="1" si="87"/>
        <v>127680</v>
      </c>
      <c r="H124" s="519">
        <f t="shared" ca="1" si="88"/>
        <v>74118.240000000005</v>
      </c>
      <c r="I124" s="519">
        <f t="shared" ca="1" si="89"/>
        <v>53561.759999999995</v>
      </c>
      <c r="J124" s="583">
        <f t="shared" ca="1" si="90"/>
        <v>0.41949999999999998</v>
      </c>
      <c r="K124" s="520">
        <f t="shared" ca="1" si="91"/>
        <v>0.72265288544358297</v>
      </c>
      <c r="L124" s="837"/>
      <c r="M124" s="882"/>
      <c r="N124" s="882"/>
      <c r="O124" s="487"/>
      <c r="P124" s="487"/>
      <c r="Q124" s="487"/>
      <c r="R124" s="487"/>
      <c r="S124" s="484"/>
      <c r="T124" s="817"/>
      <c r="U124" s="752"/>
    </row>
    <row r="125" spans="1:21" s="90" customFormat="1" ht="15" customHeight="1" x14ac:dyDescent="0.25">
      <c r="A125" s="97"/>
      <c r="B125" s="95"/>
      <c r="C125" s="514">
        <f t="shared" si="84"/>
        <v>4</v>
      </c>
      <c r="D125" s="459">
        <f t="shared" si="85"/>
        <v>41640</v>
      </c>
      <c r="E125" s="460">
        <f ca="1">IF(C125&lt;Параметры!B$8,VLOOKUP(C125+1,__Периоды,2,0)-1,Параметры!$J$88)</f>
        <v>41912</v>
      </c>
      <c r="F125" s="1251">
        <f t="shared" ca="1" si="86"/>
        <v>9</v>
      </c>
      <c r="G125" s="519">
        <f t="shared" ca="1" si="87"/>
        <v>383040</v>
      </c>
      <c r="H125" s="519">
        <f t="shared" ca="1" si="88"/>
        <v>230015.52</v>
      </c>
      <c r="I125" s="519">
        <f t="shared" ca="1" si="89"/>
        <v>153024.48000000001</v>
      </c>
      <c r="J125" s="583">
        <f t="shared" ca="1" si="90"/>
        <v>0.39950000000000002</v>
      </c>
      <c r="K125" s="520">
        <f t="shared" ca="1" si="91"/>
        <v>0.66527893422148221</v>
      </c>
      <c r="L125" s="837"/>
      <c r="M125" s="882"/>
      <c r="N125" s="882"/>
      <c r="O125" s="487"/>
      <c r="P125" s="487"/>
      <c r="Q125" s="487"/>
      <c r="R125" s="487"/>
      <c r="S125" s="484"/>
      <c r="T125" s="817"/>
      <c r="U125" s="752"/>
    </row>
    <row r="126" spans="1:21" s="90" customFormat="1" ht="15" customHeight="1" x14ac:dyDescent="0.25">
      <c r="A126" s="97"/>
      <c r="B126" s="95"/>
      <c r="C126" s="514">
        <f t="shared" si="84"/>
        <v>5</v>
      </c>
      <c r="D126" s="459">
        <f t="shared" si="85"/>
        <v>41913</v>
      </c>
      <c r="E126" s="460">
        <f ca="1">IF(C126&lt;Параметры!B$8,VLOOKUP(C126+1,__Периоды,2,0)-1,Параметры!$J$88)</f>
        <v>42277</v>
      </c>
      <c r="F126" s="1251">
        <f t="shared" ca="1" si="86"/>
        <v>12</v>
      </c>
      <c r="G126" s="519">
        <f t="shared" ca="1" si="87"/>
        <v>510720</v>
      </c>
      <c r="H126" s="519">
        <f t="shared" ca="1" si="88"/>
        <v>317259.24</v>
      </c>
      <c r="I126" s="519">
        <f t="shared" ca="1" si="89"/>
        <v>193460.76</v>
      </c>
      <c r="J126" s="583">
        <f t="shared" ca="1" si="90"/>
        <v>0.37880004699248121</v>
      </c>
      <c r="K126" s="520">
        <f t="shared" ca="1" si="91"/>
        <v>0.60978762982600609</v>
      </c>
      <c r="L126" s="837"/>
      <c r="M126" s="882"/>
      <c r="N126" s="882"/>
      <c r="O126" s="487"/>
      <c r="P126" s="487"/>
      <c r="Q126" s="487"/>
      <c r="R126" s="487"/>
      <c r="S126" s="484"/>
      <c r="T126" s="817"/>
      <c r="U126" s="752"/>
    </row>
    <row r="127" spans="1:21" s="90" customFormat="1" ht="15" customHeight="1" x14ac:dyDescent="0.25">
      <c r="A127" s="97"/>
      <c r="B127" s="95"/>
      <c r="C127" s="514">
        <f t="shared" si="84"/>
        <v>6</v>
      </c>
      <c r="D127" s="459">
        <f t="shared" si="85"/>
        <v>42278</v>
      </c>
      <c r="E127" s="460">
        <f ca="1">IF(C127&lt;Параметры!B$8,VLOOKUP(C127+1,__Периоды,2,0)-1,Параметры!$J$88)</f>
        <v>42400</v>
      </c>
      <c r="F127" s="1251">
        <f t="shared" ca="1" si="86"/>
        <v>4</v>
      </c>
      <c r="G127" s="519">
        <f t="shared" ca="1" si="87"/>
        <v>170240</v>
      </c>
      <c r="H127" s="519">
        <f t="shared" ca="1" si="88"/>
        <v>113686.28</v>
      </c>
      <c r="I127" s="519">
        <f t="shared" ca="1" si="89"/>
        <v>56553.72</v>
      </c>
      <c r="J127" s="583">
        <f t="shared" ca="1" si="90"/>
        <v>0.33219995300751881</v>
      </c>
      <c r="K127" s="520">
        <f t="shared" ca="1" si="91"/>
        <v>0.49745422226850944</v>
      </c>
      <c r="L127" s="837"/>
      <c r="M127" s="882"/>
      <c r="N127" s="882"/>
      <c r="O127" s="487"/>
      <c r="P127" s="487"/>
      <c r="Q127" s="487"/>
      <c r="R127" s="487"/>
      <c r="S127" s="484"/>
      <c r="T127" s="817"/>
      <c r="U127" s="752"/>
    </row>
    <row r="128" spans="1:21" s="90" customFormat="1" ht="15" customHeight="1" x14ac:dyDescent="0.25">
      <c r="A128" s="97"/>
      <c r="B128" s="95"/>
      <c r="C128" s="514">
        <f t="shared" ref="C128:C134" si="92">C127+1</f>
        <v>7</v>
      </c>
      <c r="D128" s="459">
        <f t="shared" si="85"/>
        <v>42401</v>
      </c>
      <c r="E128" s="460">
        <f ca="1">IF(C128&lt;Параметры!B$8,VLOOKUP(C128+1,__Периоды,2,0)-1,Параметры!$J$88)</f>
        <v>42766</v>
      </c>
      <c r="F128" s="1251">
        <f t="shared" ca="1" si="86"/>
        <v>12</v>
      </c>
      <c r="G128" s="519">
        <f t="shared" ca="1" si="87"/>
        <v>510720</v>
      </c>
      <c r="H128" s="519">
        <f t="shared" ca="1" si="88"/>
        <v>354695.04</v>
      </c>
      <c r="I128" s="519">
        <f t="shared" ca="1" si="89"/>
        <v>156024.96000000002</v>
      </c>
      <c r="J128" s="583">
        <f t="shared" ca="1" si="90"/>
        <v>0.30550000000000005</v>
      </c>
      <c r="K128" s="520">
        <f t="shared" ca="1" si="91"/>
        <v>0.43988480921526285</v>
      </c>
      <c r="L128" s="837"/>
      <c r="M128" s="882"/>
      <c r="N128" s="882"/>
      <c r="O128" s="487"/>
      <c r="P128" s="487"/>
      <c r="Q128" s="487"/>
      <c r="R128" s="487"/>
      <c r="S128" s="484"/>
      <c r="T128" s="817"/>
      <c r="U128" s="752"/>
    </row>
    <row r="129" spans="1:44" s="90" customFormat="1" ht="15" customHeight="1" x14ac:dyDescent="0.25">
      <c r="A129" s="97"/>
      <c r="B129" s="95"/>
      <c r="C129" s="514">
        <f t="shared" si="92"/>
        <v>8</v>
      </c>
      <c r="D129" s="459">
        <f t="shared" si="85"/>
        <v>42767</v>
      </c>
      <c r="E129" s="460">
        <f ca="1">IF(C129&lt;Параметры!B$8,VLOOKUP(C129+1,__Периоды,2,0)-1,Параметры!$J$88)</f>
        <v>43100</v>
      </c>
      <c r="F129" s="1251">
        <f t="shared" ca="1" si="86"/>
        <v>11</v>
      </c>
      <c r="G129" s="519">
        <f t="shared" ca="1" si="87"/>
        <v>468160</v>
      </c>
      <c r="H129" s="519">
        <f t="shared" ca="1" si="88"/>
        <v>338151.99</v>
      </c>
      <c r="I129" s="519">
        <f t="shared" ca="1" si="89"/>
        <v>130008.01000000001</v>
      </c>
      <c r="J129" s="583">
        <f t="shared" ref="J129:J134" ca="1" si="93">I129/G129</f>
        <v>0.27769995300751882</v>
      </c>
      <c r="K129" s="520">
        <f t="shared" ref="K129:K134" ca="1" si="94">I129/H129</f>
        <v>0.38446619817319427</v>
      </c>
      <c r="L129" s="837"/>
      <c r="M129" s="882"/>
      <c r="N129" s="882"/>
      <c r="O129" s="487"/>
      <c r="P129" s="487"/>
      <c r="Q129" s="487"/>
      <c r="R129" s="487"/>
      <c r="S129" s="484"/>
      <c r="T129" s="817"/>
      <c r="U129" s="752"/>
    </row>
    <row r="130" spans="1:44" s="90" customFormat="1" ht="15" customHeight="1" x14ac:dyDescent="0.25">
      <c r="A130" s="97"/>
      <c r="B130" s="95"/>
      <c r="C130" s="514">
        <f t="shared" si="92"/>
        <v>9</v>
      </c>
      <c r="D130" s="459">
        <f t="shared" si="85"/>
        <v>43101</v>
      </c>
      <c r="E130" s="460">
        <f ca="1">IF(C130&lt;Параметры!B$8,VLOOKUP(C130+1,__Периоды,2,0)-1,Параметры!$J$88)</f>
        <v>43738</v>
      </c>
      <c r="F130" s="1251">
        <f t="shared" ca="1" si="86"/>
        <v>21</v>
      </c>
      <c r="G130" s="519">
        <f t="shared" ca="1" si="87"/>
        <v>929510.40000000002</v>
      </c>
      <c r="H130" s="519">
        <f t="shared" ca="1" si="88"/>
        <v>671385.33</v>
      </c>
      <c r="I130" s="519">
        <f t="shared" ca="1" si="89"/>
        <v>258125.07000000007</v>
      </c>
      <c r="J130" s="583">
        <f t="shared" ca="1" si="93"/>
        <v>0.27770003434065943</v>
      </c>
      <c r="K130" s="520">
        <f t="shared" ca="1" si="94"/>
        <v>0.38446635406823693</v>
      </c>
      <c r="L130" s="837"/>
      <c r="M130" s="882"/>
      <c r="N130" s="882"/>
      <c r="O130" s="487"/>
      <c r="P130" s="487"/>
      <c r="Q130" s="487"/>
      <c r="R130" s="487"/>
      <c r="S130" s="484"/>
      <c r="T130" s="817"/>
      <c r="U130" s="752"/>
    </row>
    <row r="131" spans="1:44" s="90" customFormat="1" ht="15" customHeight="1" x14ac:dyDescent="0.25">
      <c r="A131" s="97"/>
      <c r="B131" s="95"/>
      <c r="C131" s="514">
        <f t="shared" si="92"/>
        <v>10</v>
      </c>
      <c r="D131" s="459">
        <f>VLOOKUP(C131,__Периоды,2,0)</f>
        <v>43739</v>
      </c>
      <c r="E131" s="460">
        <f ca="1">IF(C131&lt;Параметры!B$8,VLOOKUP(C131+1,__Периоды,2,0)-1,Параметры!$J$88)</f>
        <v>44104</v>
      </c>
      <c r="F131" s="1251">
        <f t="shared" ca="1" si="86"/>
        <v>12</v>
      </c>
      <c r="G131" s="519">
        <f t="shared" ca="1" si="87"/>
        <v>553996.80000000005</v>
      </c>
      <c r="H131" s="519">
        <f t="shared" ca="1" si="88"/>
        <v>408184.80000000005</v>
      </c>
      <c r="I131" s="519">
        <f ca="1">IF(H131 &gt;G131,0,G131 - H131)</f>
        <v>145812</v>
      </c>
      <c r="J131" s="583">
        <f t="shared" ca="1" si="93"/>
        <v>0.26320007624592773</v>
      </c>
      <c r="K131" s="520">
        <f t="shared" ca="1" si="94"/>
        <v>0.35722055304362138</v>
      </c>
      <c r="L131" s="837"/>
      <c r="M131" s="882"/>
      <c r="N131" s="882"/>
      <c r="O131" s="487"/>
      <c r="P131" s="487"/>
      <c r="Q131" s="487"/>
      <c r="R131" s="487"/>
      <c r="S131" s="484"/>
      <c r="T131" s="817"/>
      <c r="U131" s="752"/>
    </row>
    <row r="132" spans="1:44" s="90" customFormat="1" ht="15" customHeight="1" x14ac:dyDescent="0.25">
      <c r="A132" s="97"/>
      <c r="B132" s="95"/>
      <c r="C132" s="514">
        <f t="shared" si="92"/>
        <v>11</v>
      </c>
      <c r="D132" s="459">
        <f>VLOOKUP(C132,__Периоды,2,0)</f>
        <v>44105</v>
      </c>
      <c r="E132" s="460">
        <f ca="1">IF(C132&lt;Параметры!B$8,VLOOKUP(C132+1,__Периоды,2,0)-1,Параметры!$J$88)</f>
        <v>44469</v>
      </c>
      <c r="F132" s="1251">
        <f t="shared" ca="1" si="86"/>
        <v>12</v>
      </c>
      <c r="G132" s="519">
        <f t="shared" ca="1" si="87"/>
        <v>570635.52000000002</v>
      </c>
      <c r="H132" s="519">
        <f t="shared" ca="1" si="88"/>
        <v>420444.24</v>
      </c>
      <c r="I132" s="519">
        <f ca="1">IF(H132 &gt;G132,0,G132 - H132)</f>
        <v>150191.28000000003</v>
      </c>
      <c r="J132" s="583">
        <f t="shared" ca="1" si="93"/>
        <v>0.26320001951508387</v>
      </c>
      <c r="K132" s="520">
        <f t="shared" ca="1" si="94"/>
        <v>0.3572204485427129</v>
      </c>
      <c r="L132" s="837"/>
      <c r="M132" s="882"/>
      <c r="N132" s="882"/>
      <c r="O132" s="487"/>
      <c r="P132" s="487"/>
      <c r="Q132" s="487"/>
      <c r="R132" s="487"/>
      <c r="S132" s="484"/>
      <c r="T132" s="817"/>
      <c r="U132" s="752"/>
    </row>
    <row r="133" spans="1:44" s="90" customFormat="1" ht="15" customHeight="1" x14ac:dyDescent="0.25">
      <c r="A133" s="97"/>
      <c r="B133" s="95"/>
      <c r="C133" s="514">
        <f t="shared" si="92"/>
        <v>12</v>
      </c>
      <c r="D133" s="459">
        <f>VLOOKUP(C133,__Периоды,2,0)</f>
        <v>44470</v>
      </c>
      <c r="E133" s="460">
        <f ca="1">IF(C133&lt;Параметры!B$8,VLOOKUP(C133+1,__Периоды,2,0)-1,Параметры!$J$88)</f>
        <v>44561</v>
      </c>
      <c r="F133" s="1251">
        <f t="shared" ca="1" si="86"/>
        <v>3</v>
      </c>
      <c r="G133" s="519">
        <f t="shared" ca="1" si="87"/>
        <v>147940.79999999999</v>
      </c>
      <c r="H133" s="519">
        <f t="shared" ca="1" si="88"/>
        <v>109002.78</v>
      </c>
      <c r="I133" s="519">
        <f ca="1">IF(H133 &gt;G133,0,G133 - H133)</f>
        <v>38938.01999999999</v>
      </c>
      <c r="J133" s="583">
        <f t="shared" ca="1" si="93"/>
        <v>0.26320000973362312</v>
      </c>
      <c r="K133" s="520">
        <f t="shared" ca="1" si="94"/>
        <v>0.35722043052479935</v>
      </c>
      <c r="L133" s="837"/>
      <c r="M133" s="882"/>
      <c r="N133" s="882"/>
      <c r="O133" s="487"/>
      <c r="P133" s="487"/>
      <c r="Q133" s="487"/>
      <c r="R133" s="487"/>
      <c r="S133" s="484"/>
      <c r="T133" s="817"/>
      <c r="U133" s="752"/>
    </row>
    <row r="134" spans="1:44" s="90" customFormat="1" ht="15" customHeight="1" x14ac:dyDescent="0.25">
      <c r="A134" s="97"/>
      <c r="B134" s="95"/>
      <c r="C134" s="514">
        <f t="shared" si="92"/>
        <v>13</v>
      </c>
      <c r="D134" s="459">
        <f>VLOOKUP(C134,__Периоды,2,0)</f>
        <v>44562</v>
      </c>
      <c r="E134" s="460">
        <f ca="1">IF(C134&lt;Параметры!B$8,VLOOKUP(C134+1,__Периоды,2,0)-1,Параметры!$J$88)</f>
        <v>44681</v>
      </c>
      <c r="F134" s="1251">
        <f t="shared" ca="1" si="86"/>
        <v>4</v>
      </c>
      <c r="G134" s="519">
        <f t="shared" ca="1" si="87"/>
        <v>197254.39999999999</v>
      </c>
      <c r="H134" s="519">
        <f t="shared" ca="1" si="88"/>
        <v>158521.51999999999</v>
      </c>
      <c r="I134" s="519">
        <f ca="1">IF(H134 &gt;G134,0,G134 - H134)</f>
        <v>38732.880000000005</v>
      </c>
      <c r="J134" s="583">
        <f t="shared" ca="1" si="93"/>
        <v>0.196360030498686</v>
      </c>
      <c r="K134" s="520">
        <f t="shared" ca="1" si="94"/>
        <v>0.24433830813633384</v>
      </c>
      <c r="L134" s="837"/>
      <c r="M134" s="882"/>
      <c r="N134" s="882"/>
      <c r="O134" s="487"/>
      <c r="P134" s="487"/>
      <c r="Q134" s="487"/>
      <c r="R134" s="487"/>
      <c r="S134" s="484"/>
      <c r="T134" s="817"/>
      <c r="U134" s="752"/>
    </row>
    <row r="135" spans="1:44" s="90" customFormat="1" ht="15" customHeight="1" thickBot="1" x14ac:dyDescent="0.3">
      <c r="A135" s="97"/>
      <c r="B135" s="95"/>
      <c r="C135" s="523" t="s">
        <v>171</v>
      </c>
      <c r="D135" s="461"/>
      <c r="E135" s="1255"/>
      <c r="F135" s="1252"/>
      <c r="G135" s="584"/>
      <c r="H135" s="584"/>
      <c r="I135" s="585"/>
      <c r="J135" s="586"/>
      <c r="K135" s="587"/>
      <c r="L135" s="897"/>
      <c r="M135" s="487"/>
      <c r="N135" s="487"/>
      <c r="O135" s="487"/>
      <c r="P135" s="487"/>
      <c r="Q135" s="487"/>
      <c r="R135" s="487"/>
      <c r="S135" s="484"/>
      <c r="T135" s="817"/>
      <c r="U135" s="752"/>
    </row>
    <row r="136" spans="1:44" s="90" customFormat="1" ht="15" customHeight="1" thickBot="1" x14ac:dyDescent="0.3">
      <c r="A136" s="97"/>
      <c r="B136" s="95"/>
      <c r="C136" s="1098" t="s">
        <v>241</v>
      </c>
      <c r="D136" s="1325">
        <f ca="1">TODAY()</f>
        <v>44664</v>
      </c>
      <c r="E136" s="1099"/>
      <c r="F136" s="1100"/>
      <c r="G136" s="1101">
        <f ca="1">SUM(G122:G135)</f>
        <v>5463657.9200000009</v>
      </c>
      <c r="H136" s="1101">
        <f ca="1">SUM(H122:H135)</f>
        <v>3685756.1800000006</v>
      </c>
      <c r="I136" s="1101">
        <f ca="1">SUM(I122:I135)</f>
        <v>1777901.7400000002</v>
      </c>
      <c r="J136" s="1102">
        <f ca="1">I136/G136</f>
        <v>0.32540502462496773</v>
      </c>
      <c r="K136" s="1103">
        <f ca="1">I136/H136</f>
        <v>0.4823709581353805</v>
      </c>
      <c r="L136" s="898"/>
      <c r="M136" s="899"/>
      <c r="N136" s="899"/>
      <c r="O136" s="487"/>
      <c r="P136" s="487"/>
      <c r="Q136" s="487"/>
      <c r="R136" s="487"/>
      <c r="S136" s="484"/>
      <c r="T136" s="817"/>
      <c r="U136" s="752"/>
    </row>
    <row r="137" spans="1:44" s="19" customFormat="1" ht="15.75" thickBot="1" x14ac:dyDescent="0.3">
      <c r="A137" s="101"/>
      <c r="B137" s="438"/>
      <c r="C137" s="601"/>
      <c r="D137" s="601"/>
      <c r="E137" s="601"/>
      <c r="F137" s="601"/>
      <c r="G137" s="601"/>
      <c r="H137" s="601"/>
      <c r="I137" s="601"/>
      <c r="J137" s="601"/>
      <c r="K137" s="601"/>
      <c r="L137" s="601"/>
      <c r="M137" s="602"/>
      <c r="N137" s="601"/>
      <c r="O137" s="601"/>
      <c r="P137" s="601"/>
      <c r="Q137" s="601"/>
      <c r="R137" s="601"/>
      <c r="S137" s="601"/>
      <c r="T137" s="819"/>
      <c r="U137" s="754"/>
      <c r="V137" s="823"/>
      <c r="W137" s="823"/>
      <c r="X137" s="823"/>
      <c r="Y137" s="823"/>
      <c r="Z137" s="823"/>
      <c r="AA137" s="823"/>
      <c r="AB137" s="823"/>
      <c r="AC137" s="823"/>
      <c r="AD137" s="823"/>
      <c r="AE137" s="823"/>
      <c r="AF137" s="823"/>
      <c r="AG137" s="823"/>
      <c r="AH137" s="823"/>
      <c r="AI137" s="823"/>
      <c r="AJ137" s="823"/>
      <c r="AK137" s="823"/>
      <c r="AL137" s="823"/>
      <c r="AM137" s="823"/>
      <c r="AN137" s="823"/>
      <c r="AO137" s="823"/>
      <c r="AP137" s="823"/>
      <c r="AQ137" s="823"/>
      <c r="AR137" s="823"/>
    </row>
    <row r="138" spans="1:44" s="19" customFormat="1" ht="9.75" customHeight="1" x14ac:dyDescent="0.25">
      <c r="A138" s="101"/>
      <c r="C138" s="747"/>
      <c r="D138" s="747"/>
      <c r="E138" s="747"/>
      <c r="F138" s="747"/>
      <c r="G138" s="747"/>
      <c r="H138" s="747"/>
      <c r="I138" s="747"/>
      <c r="J138" s="747"/>
      <c r="K138" s="747"/>
      <c r="L138" s="748"/>
      <c r="M138" s="747"/>
      <c r="N138" s="747"/>
      <c r="O138" s="747"/>
      <c r="P138" s="747"/>
      <c r="Q138" s="747"/>
      <c r="R138" s="747"/>
      <c r="S138" s="747"/>
      <c r="T138" s="747"/>
      <c r="U138" s="747"/>
      <c r="V138" s="823"/>
      <c r="W138" s="823"/>
      <c r="X138" s="823"/>
      <c r="Y138" s="823"/>
      <c r="Z138" s="823"/>
      <c r="AA138" s="823"/>
      <c r="AB138" s="823"/>
      <c r="AC138" s="823"/>
      <c r="AD138" s="823"/>
      <c r="AE138" s="823"/>
      <c r="AF138" s="823"/>
      <c r="AG138" s="823"/>
      <c r="AH138" s="823"/>
      <c r="AI138" s="823"/>
      <c r="AJ138" s="823"/>
      <c r="AK138" s="823"/>
      <c r="AL138" s="823"/>
      <c r="AM138" s="823"/>
      <c r="AN138" s="823"/>
      <c r="AO138" s="823"/>
      <c r="AP138" s="823"/>
      <c r="AQ138" s="823"/>
      <c r="AR138" s="823"/>
    </row>
    <row r="139" spans="1:44" s="19" customFormat="1" x14ac:dyDescent="0.25">
      <c r="A139" s="101"/>
      <c r="M139" s="20"/>
      <c r="V139" s="823"/>
      <c r="W139" s="823"/>
      <c r="X139" s="823"/>
      <c r="Y139" s="823"/>
      <c r="Z139" s="823"/>
      <c r="AA139" s="823"/>
      <c r="AB139" s="823"/>
      <c r="AC139" s="823"/>
      <c r="AD139" s="823"/>
      <c r="AE139" s="823"/>
      <c r="AF139" s="823"/>
      <c r="AG139" s="823"/>
      <c r="AH139" s="823"/>
      <c r="AI139" s="823"/>
      <c r="AJ139" s="823"/>
      <c r="AK139" s="823"/>
      <c r="AL139" s="823"/>
      <c r="AM139" s="823"/>
      <c r="AN139" s="823"/>
      <c r="AO139" s="823"/>
      <c r="AP139" s="823"/>
      <c r="AQ139" s="823"/>
      <c r="AR139" s="823"/>
    </row>
    <row r="140" spans="1:44" s="19" customFormat="1" x14ac:dyDescent="0.25">
      <c r="A140" s="101"/>
      <c r="M140" s="20"/>
      <c r="V140" s="823"/>
      <c r="W140" s="823"/>
      <c r="X140" s="823"/>
      <c r="Y140" s="823"/>
      <c r="Z140" s="823"/>
      <c r="AA140" s="823"/>
      <c r="AB140" s="823"/>
      <c r="AC140" s="823"/>
      <c r="AD140" s="823"/>
      <c r="AE140" s="823"/>
      <c r="AF140" s="823"/>
      <c r="AG140" s="823"/>
      <c r="AH140" s="823"/>
      <c r="AI140" s="823"/>
      <c r="AJ140" s="823"/>
      <c r="AK140" s="823"/>
      <c r="AL140" s="823"/>
      <c r="AM140" s="823"/>
      <c r="AN140" s="823"/>
      <c r="AO140" s="823"/>
      <c r="AP140" s="823"/>
      <c r="AQ140" s="823"/>
      <c r="AR140" s="823"/>
    </row>
    <row r="141" spans="1:44" s="19" customFormat="1" x14ac:dyDescent="0.25">
      <c r="A141" s="101"/>
      <c r="M141" s="20"/>
      <c r="V141" s="823"/>
      <c r="W141" s="823"/>
      <c r="X141" s="823"/>
      <c r="Y141" s="823"/>
      <c r="Z141" s="823"/>
      <c r="AA141" s="823"/>
      <c r="AB141" s="823"/>
      <c r="AC141" s="823"/>
      <c r="AD141" s="823"/>
      <c r="AE141" s="823"/>
      <c r="AF141" s="823"/>
      <c r="AG141" s="823"/>
      <c r="AH141" s="823"/>
      <c r="AI141" s="823"/>
      <c r="AJ141" s="823"/>
      <c r="AK141" s="823"/>
      <c r="AL141" s="823"/>
      <c r="AM141" s="823"/>
      <c r="AN141" s="823"/>
      <c r="AO141" s="823"/>
      <c r="AP141" s="823"/>
      <c r="AQ141" s="823"/>
      <c r="AR141" s="823"/>
    </row>
    <row r="142" spans="1:44" s="19" customFormat="1" x14ac:dyDescent="0.25">
      <c r="A142" s="101"/>
      <c r="M142" s="20"/>
      <c r="V142" s="823"/>
      <c r="W142" s="823"/>
      <c r="X142" s="823"/>
      <c r="Y142" s="823"/>
      <c r="Z142" s="823"/>
      <c r="AA142" s="823"/>
      <c r="AB142" s="823"/>
      <c r="AC142" s="823"/>
      <c r="AD142" s="823"/>
      <c r="AE142" s="823"/>
      <c r="AF142" s="823"/>
      <c r="AG142" s="823"/>
      <c r="AH142" s="823"/>
      <c r="AI142" s="823"/>
      <c r="AJ142" s="823"/>
      <c r="AK142" s="823"/>
      <c r="AL142" s="823"/>
      <c r="AM142" s="823"/>
      <c r="AN142" s="823"/>
      <c r="AO142" s="823"/>
      <c r="AP142" s="823"/>
      <c r="AQ142" s="823"/>
      <c r="AR142" s="823"/>
    </row>
    <row r="143" spans="1:44" s="19" customFormat="1" x14ac:dyDescent="0.25">
      <c r="A143" s="101"/>
      <c r="M143" s="20"/>
      <c r="V143" s="823"/>
      <c r="W143" s="823"/>
      <c r="X143" s="823"/>
      <c r="Y143" s="823"/>
      <c r="Z143" s="823"/>
      <c r="AA143" s="823"/>
      <c r="AB143" s="823"/>
      <c r="AC143" s="823"/>
      <c r="AD143" s="823"/>
      <c r="AE143" s="823"/>
      <c r="AF143" s="823"/>
      <c r="AG143" s="823"/>
      <c r="AH143" s="823"/>
      <c r="AI143" s="823"/>
      <c r="AJ143" s="823"/>
      <c r="AK143" s="823"/>
      <c r="AL143" s="823"/>
      <c r="AM143" s="823"/>
      <c r="AN143" s="823"/>
      <c r="AO143" s="823"/>
      <c r="AP143" s="823"/>
      <c r="AQ143" s="823"/>
      <c r="AR143" s="823"/>
    </row>
    <row r="144" spans="1:44" s="19" customFormat="1" x14ac:dyDescent="0.25">
      <c r="A144" s="101"/>
      <c r="M144" s="20"/>
      <c r="V144" s="823"/>
      <c r="W144" s="823"/>
      <c r="X144" s="823"/>
      <c r="Y144" s="823"/>
      <c r="Z144" s="823"/>
      <c r="AA144" s="823"/>
      <c r="AB144" s="823"/>
      <c r="AC144" s="823"/>
      <c r="AD144" s="823"/>
      <c r="AE144" s="823"/>
      <c r="AF144" s="823"/>
      <c r="AG144" s="823"/>
      <c r="AH144" s="823"/>
      <c r="AI144" s="823"/>
      <c r="AJ144" s="823"/>
      <c r="AK144" s="823"/>
      <c r="AL144" s="823"/>
      <c r="AM144" s="823"/>
      <c r="AN144" s="823"/>
      <c r="AO144" s="823"/>
      <c r="AP144" s="823"/>
      <c r="AQ144" s="823"/>
      <c r="AR144" s="823"/>
    </row>
    <row r="145" spans="1:44" s="19" customFormat="1" x14ac:dyDescent="0.25">
      <c r="A145" s="101"/>
      <c r="M145" s="20"/>
      <c r="V145" s="823"/>
      <c r="W145" s="823"/>
      <c r="X145" s="823"/>
      <c r="Y145" s="823"/>
      <c r="Z145" s="823"/>
      <c r="AA145" s="823"/>
      <c r="AB145" s="823"/>
      <c r="AC145" s="823"/>
      <c r="AD145" s="823"/>
      <c r="AE145" s="823"/>
      <c r="AF145" s="823"/>
      <c r="AG145" s="823"/>
      <c r="AH145" s="823"/>
      <c r="AI145" s="823"/>
      <c r="AJ145" s="823"/>
      <c r="AK145" s="823"/>
      <c r="AL145" s="823"/>
      <c r="AM145" s="823"/>
      <c r="AN145" s="823"/>
      <c r="AO145" s="823"/>
      <c r="AP145" s="823"/>
      <c r="AQ145" s="823"/>
      <c r="AR145" s="823"/>
    </row>
    <row r="146" spans="1:44" s="19" customFormat="1" x14ac:dyDescent="0.25">
      <c r="A146" s="101"/>
      <c r="M146" s="20"/>
      <c r="V146" s="823"/>
      <c r="W146" s="823"/>
      <c r="X146" s="823"/>
      <c r="Y146" s="823"/>
      <c r="Z146" s="823"/>
      <c r="AA146" s="823"/>
      <c r="AB146" s="823"/>
      <c r="AC146" s="823"/>
      <c r="AD146" s="823"/>
      <c r="AE146" s="823"/>
      <c r="AF146" s="823"/>
      <c r="AG146" s="823"/>
      <c r="AH146" s="823"/>
      <c r="AI146" s="823"/>
      <c r="AJ146" s="823"/>
      <c r="AK146" s="823"/>
      <c r="AL146" s="823"/>
      <c r="AM146" s="823"/>
      <c r="AN146" s="823"/>
      <c r="AO146" s="823"/>
      <c r="AP146" s="823"/>
      <c r="AQ146" s="823"/>
      <c r="AR146" s="823"/>
    </row>
    <row r="147" spans="1:44" s="19" customFormat="1" x14ac:dyDescent="0.25">
      <c r="A147" s="101"/>
      <c r="M147" s="20"/>
      <c r="V147" s="823"/>
      <c r="W147" s="823"/>
      <c r="X147" s="823"/>
      <c r="Y147" s="823"/>
      <c r="Z147" s="823"/>
      <c r="AA147" s="823"/>
      <c r="AB147" s="823"/>
      <c r="AC147" s="823"/>
      <c r="AD147" s="823"/>
      <c r="AE147" s="823"/>
      <c r="AF147" s="823"/>
      <c r="AG147" s="823"/>
      <c r="AH147" s="823"/>
      <c r="AI147" s="823"/>
      <c r="AJ147" s="823"/>
      <c r="AK147" s="823"/>
      <c r="AL147" s="823"/>
      <c r="AM147" s="823"/>
      <c r="AN147" s="823"/>
      <c r="AO147" s="823"/>
      <c r="AP147" s="823"/>
      <c r="AQ147" s="823"/>
      <c r="AR147" s="823"/>
    </row>
    <row r="148" spans="1:44" s="19" customFormat="1" x14ac:dyDescent="0.25">
      <c r="A148" s="101"/>
      <c r="M148" s="20"/>
      <c r="V148" s="823"/>
      <c r="W148" s="823"/>
      <c r="X148" s="823"/>
      <c r="Y148" s="823"/>
      <c r="Z148" s="823"/>
      <c r="AA148" s="823"/>
      <c r="AB148" s="823"/>
      <c r="AC148" s="823"/>
      <c r="AD148" s="823"/>
      <c r="AE148" s="823"/>
      <c r="AF148" s="823"/>
      <c r="AG148" s="823"/>
      <c r="AH148" s="823"/>
      <c r="AI148" s="823"/>
      <c r="AJ148" s="823"/>
      <c r="AK148" s="823"/>
      <c r="AL148" s="823"/>
      <c r="AM148" s="823"/>
      <c r="AN148" s="823"/>
      <c r="AO148" s="823"/>
      <c r="AP148" s="823"/>
      <c r="AQ148" s="823"/>
      <c r="AR148" s="823"/>
    </row>
    <row r="149" spans="1:44" s="19" customFormat="1" x14ac:dyDescent="0.25">
      <c r="A149" s="101"/>
      <c r="M149" s="20"/>
      <c r="V149" s="823"/>
      <c r="W149" s="823"/>
      <c r="X149" s="823"/>
      <c r="Y149" s="823"/>
      <c r="Z149" s="823"/>
      <c r="AA149" s="823"/>
      <c r="AB149" s="823"/>
      <c r="AC149" s="823"/>
      <c r="AD149" s="823"/>
      <c r="AE149" s="823"/>
      <c r="AF149" s="823"/>
      <c r="AG149" s="823"/>
      <c r="AH149" s="823"/>
      <c r="AI149" s="823"/>
      <c r="AJ149" s="823"/>
      <c r="AK149" s="823"/>
      <c r="AL149" s="823"/>
      <c r="AM149" s="823"/>
      <c r="AN149" s="823"/>
      <c r="AO149" s="823"/>
      <c r="AP149" s="823"/>
      <c r="AQ149" s="823"/>
      <c r="AR149" s="823"/>
    </row>
    <row r="150" spans="1:44" s="19" customFormat="1" x14ac:dyDescent="0.25">
      <c r="A150" s="101"/>
      <c r="M150" s="20"/>
      <c r="V150" s="823"/>
      <c r="W150" s="823"/>
      <c r="X150" s="823"/>
      <c r="Y150" s="823"/>
      <c r="Z150" s="823"/>
      <c r="AA150" s="823"/>
      <c r="AB150" s="823"/>
      <c r="AC150" s="823"/>
      <c r="AD150" s="823"/>
      <c r="AE150" s="823"/>
      <c r="AF150" s="823"/>
      <c r="AG150" s="823"/>
      <c r="AH150" s="823"/>
      <c r="AI150" s="823"/>
      <c r="AJ150" s="823"/>
      <c r="AK150" s="823"/>
      <c r="AL150" s="823"/>
      <c r="AM150" s="823"/>
      <c r="AN150" s="823"/>
      <c r="AO150" s="823"/>
      <c r="AP150" s="823"/>
      <c r="AQ150" s="823"/>
      <c r="AR150" s="823"/>
    </row>
    <row r="151" spans="1:44" s="19" customFormat="1" x14ac:dyDescent="0.25">
      <c r="A151" s="101"/>
      <c r="M151" s="20"/>
      <c r="V151" s="823"/>
      <c r="W151" s="823"/>
      <c r="X151" s="823"/>
      <c r="Y151" s="823"/>
      <c r="Z151" s="823"/>
      <c r="AA151" s="823"/>
      <c r="AB151" s="823"/>
      <c r="AC151" s="823"/>
      <c r="AD151" s="823"/>
      <c r="AE151" s="823"/>
      <c r="AF151" s="823"/>
      <c r="AG151" s="823"/>
      <c r="AH151" s="823"/>
      <c r="AI151" s="823"/>
      <c r="AJ151" s="823"/>
      <c r="AK151" s="823"/>
      <c r="AL151" s="823"/>
      <c r="AM151" s="823"/>
      <c r="AN151" s="823"/>
      <c r="AO151" s="823"/>
      <c r="AP151" s="823"/>
      <c r="AQ151" s="823"/>
      <c r="AR151" s="823"/>
    </row>
    <row r="152" spans="1:44" s="19" customFormat="1" x14ac:dyDescent="0.25">
      <c r="A152" s="101"/>
      <c r="M152" s="20"/>
      <c r="V152" s="823"/>
      <c r="W152" s="823"/>
      <c r="X152" s="823"/>
      <c r="Y152" s="823"/>
      <c r="Z152" s="823"/>
      <c r="AA152" s="823"/>
      <c r="AB152" s="823"/>
      <c r="AC152" s="823"/>
      <c r="AD152" s="823"/>
      <c r="AE152" s="823"/>
      <c r="AF152" s="823"/>
      <c r="AG152" s="823"/>
      <c r="AH152" s="823"/>
      <c r="AI152" s="823"/>
      <c r="AJ152" s="823"/>
      <c r="AK152" s="823"/>
      <c r="AL152" s="823"/>
      <c r="AM152" s="823"/>
      <c r="AN152" s="823"/>
      <c r="AO152" s="823"/>
      <c r="AP152" s="823"/>
      <c r="AQ152" s="823"/>
      <c r="AR152" s="823"/>
    </row>
    <row r="153" spans="1:44" s="19" customFormat="1" x14ac:dyDescent="0.25">
      <c r="A153" s="101"/>
      <c r="M153" s="20"/>
      <c r="V153" s="823"/>
      <c r="W153" s="823"/>
      <c r="X153" s="823"/>
      <c r="Y153" s="823"/>
      <c r="Z153" s="823"/>
      <c r="AA153" s="823"/>
      <c r="AB153" s="823"/>
      <c r="AC153" s="823"/>
      <c r="AD153" s="823"/>
      <c r="AE153" s="823"/>
      <c r="AF153" s="823"/>
      <c r="AG153" s="823"/>
      <c r="AH153" s="823"/>
      <c r="AI153" s="823"/>
      <c r="AJ153" s="823"/>
      <c r="AK153" s="823"/>
      <c r="AL153" s="823"/>
      <c r="AM153" s="823"/>
      <c r="AN153" s="823"/>
      <c r="AO153" s="823"/>
      <c r="AP153" s="823"/>
      <c r="AQ153" s="823"/>
      <c r="AR153" s="823"/>
    </row>
    <row r="154" spans="1:44" s="19" customFormat="1" x14ac:dyDescent="0.25">
      <c r="A154" s="101"/>
      <c r="M154" s="20"/>
      <c r="V154" s="823"/>
      <c r="W154" s="823"/>
      <c r="X154" s="823"/>
      <c r="Y154" s="823"/>
      <c r="Z154" s="823"/>
      <c r="AA154" s="823"/>
      <c r="AB154" s="823"/>
      <c r="AC154" s="823"/>
      <c r="AD154" s="823"/>
      <c r="AE154" s="823"/>
      <c r="AF154" s="823"/>
      <c r="AG154" s="823"/>
      <c r="AH154" s="823"/>
      <c r="AI154" s="823"/>
      <c r="AJ154" s="823"/>
      <c r="AK154" s="823"/>
      <c r="AL154" s="823"/>
      <c r="AM154" s="823"/>
      <c r="AN154" s="823"/>
      <c r="AO154" s="823"/>
      <c r="AP154" s="823"/>
      <c r="AQ154" s="823"/>
      <c r="AR154" s="823"/>
    </row>
    <row r="155" spans="1:44" s="19" customFormat="1" x14ac:dyDescent="0.25">
      <c r="A155" s="101"/>
      <c r="M155" s="20"/>
      <c r="V155" s="823"/>
      <c r="W155" s="823"/>
      <c r="X155" s="823"/>
      <c r="Y155" s="823"/>
      <c r="Z155" s="823"/>
      <c r="AA155" s="823"/>
      <c r="AB155" s="823"/>
      <c r="AC155" s="823"/>
      <c r="AD155" s="823"/>
      <c r="AE155" s="823"/>
      <c r="AF155" s="823"/>
      <c r="AG155" s="823"/>
      <c r="AH155" s="823"/>
      <c r="AI155" s="823"/>
      <c r="AJ155" s="823"/>
      <c r="AK155" s="823"/>
      <c r="AL155" s="823"/>
      <c r="AM155" s="823"/>
      <c r="AN155" s="823"/>
      <c r="AO155" s="823"/>
      <c r="AP155" s="823"/>
      <c r="AQ155" s="823"/>
      <c r="AR155" s="823"/>
    </row>
    <row r="156" spans="1:44" s="19" customFormat="1" x14ac:dyDescent="0.25">
      <c r="A156" s="101"/>
      <c r="M156" s="20"/>
      <c r="V156" s="823"/>
      <c r="W156" s="823"/>
      <c r="X156" s="823"/>
      <c r="Y156" s="823"/>
      <c r="Z156" s="823"/>
      <c r="AA156" s="823"/>
      <c r="AB156" s="823"/>
      <c r="AC156" s="823"/>
      <c r="AD156" s="823"/>
      <c r="AE156" s="823"/>
      <c r="AF156" s="823"/>
      <c r="AG156" s="823"/>
      <c r="AH156" s="823"/>
      <c r="AI156" s="823"/>
      <c r="AJ156" s="823"/>
      <c r="AK156" s="823"/>
      <c r="AL156" s="823"/>
      <c r="AM156" s="823"/>
      <c r="AN156" s="823"/>
      <c r="AO156" s="823"/>
      <c r="AP156" s="823"/>
      <c r="AQ156" s="823"/>
      <c r="AR156" s="823"/>
    </row>
    <row r="157" spans="1:44" s="19" customFormat="1" x14ac:dyDescent="0.25">
      <c r="A157" s="101"/>
      <c r="M157" s="20"/>
      <c r="V157" s="823"/>
      <c r="W157" s="823"/>
      <c r="X157" s="823"/>
      <c r="Y157" s="823"/>
      <c r="Z157" s="823"/>
      <c r="AA157" s="823"/>
      <c r="AB157" s="823"/>
      <c r="AC157" s="823"/>
      <c r="AD157" s="823"/>
      <c r="AE157" s="823"/>
      <c r="AF157" s="823"/>
      <c r="AG157" s="823"/>
      <c r="AH157" s="823"/>
      <c r="AI157" s="823"/>
      <c r="AJ157" s="823"/>
      <c r="AK157" s="823"/>
      <c r="AL157" s="823"/>
      <c r="AM157" s="823"/>
      <c r="AN157" s="823"/>
      <c r="AO157" s="823"/>
      <c r="AP157" s="823"/>
      <c r="AQ157" s="823"/>
      <c r="AR157" s="823"/>
    </row>
    <row r="158" spans="1:44" s="19" customFormat="1" x14ac:dyDescent="0.25">
      <c r="A158" s="101"/>
      <c r="M158" s="20"/>
      <c r="V158" s="823"/>
      <c r="W158" s="823"/>
      <c r="X158" s="823"/>
      <c r="Y158" s="823"/>
      <c r="Z158" s="823"/>
      <c r="AA158" s="823"/>
      <c r="AB158" s="823"/>
      <c r="AC158" s="823"/>
      <c r="AD158" s="823"/>
      <c r="AE158" s="823"/>
      <c r="AF158" s="823"/>
      <c r="AG158" s="823"/>
      <c r="AH158" s="823"/>
      <c r="AI158" s="823"/>
      <c r="AJ158" s="823"/>
      <c r="AK158" s="823"/>
      <c r="AL158" s="823"/>
      <c r="AM158" s="823"/>
      <c r="AN158" s="823"/>
      <c r="AO158" s="823"/>
      <c r="AP158" s="823"/>
      <c r="AQ158" s="823"/>
      <c r="AR158" s="823"/>
    </row>
    <row r="159" spans="1:44" s="19" customFormat="1" x14ac:dyDescent="0.25">
      <c r="A159" s="101"/>
      <c r="M159" s="20"/>
      <c r="V159" s="823"/>
      <c r="W159" s="823"/>
      <c r="X159" s="823"/>
      <c r="Y159" s="823"/>
      <c r="Z159" s="823"/>
      <c r="AA159" s="823"/>
      <c r="AB159" s="823"/>
      <c r="AC159" s="823"/>
      <c r="AD159" s="823"/>
      <c r="AE159" s="823"/>
      <c r="AF159" s="823"/>
      <c r="AG159" s="823"/>
      <c r="AH159" s="823"/>
      <c r="AI159" s="823"/>
      <c r="AJ159" s="823"/>
      <c r="AK159" s="823"/>
      <c r="AL159" s="823"/>
      <c r="AM159" s="823"/>
      <c r="AN159" s="823"/>
      <c r="AO159" s="823"/>
      <c r="AP159" s="823"/>
      <c r="AQ159" s="823"/>
      <c r="AR159" s="823"/>
    </row>
    <row r="160" spans="1:44" s="19" customFormat="1" x14ac:dyDescent="0.25">
      <c r="A160" s="101"/>
      <c r="M160" s="20"/>
      <c r="V160" s="823"/>
      <c r="W160" s="823"/>
      <c r="X160" s="823"/>
      <c r="Y160" s="823"/>
      <c r="Z160" s="823"/>
      <c r="AA160" s="823"/>
      <c r="AB160" s="823"/>
      <c r="AC160" s="823"/>
      <c r="AD160" s="823"/>
      <c r="AE160" s="823"/>
      <c r="AF160" s="823"/>
      <c r="AG160" s="823"/>
      <c r="AH160" s="823"/>
      <c r="AI160" s="823"/>
      <c r="AJ160" s="823"/>
      <c r="AK160" s="823"/>
      <c r="AL160" s="823"/>
      <c r="AM160" s="823"/>
      <c r="AN160" s="823"/>
      <c r="AO160" s="823"/>
      <c r="AP160" s="823"/>
      <c r="AQ160" s="823"/>
      <c r="AR160" s="823"/>
    </row>
    <row r="161" spans="1:44" s="19" customFormat="1" x14ac:dyDescent="0.25">
      <c r="A161" s="101"/>
      <c r="M161" s="20"/>
      <c r="V161" s="823"/>
      <c r="W161" s="823"/>
      <c r="X161" s="823"/>
      <c r="Y161" s="823"/>
      <c r="Z161" s="823"/>
      <c r="AA161" s="823"/>
      <c r="AB161" s="823"/>
      <c r="AC161" s="823"/>
      <c r="AD161" s="823"/>
      <c r="AE161" s="823"/>
      <c r="AF161" s="823"/>
      <c r="AG161" s="823"/>
      <c r="AH161" s="823"/>
      <c r="AI161" s="823"/>
      <c r="AJ161" s="823"/>
      <c r="AK161" s="823"/>
      <c r="AL161" s="823"/>
      <c r="AM161" s="823"/>
      <c r="AN161" s="823"/>
      <c r="AO161" s="823"/>
      <c r="AP161" s="823"/>
      <c r="AQ161" s="823"/>
      <c r="AR161" s="823"/>
    </row>
    <row r="162" spans="1:44" s="19" customFormat="1" x14ac:dyDescent="0.25">
      <c r="A162" s="101"/>
      <c r="M162" s="20"/>
      <c r="V162" s="823"/>
      <c r="W162" s="823"/>
      <c r="X162" s="823"/>
      <c r="Y162" s="823"/>
      <c r="Z162" s="823"/>
      <c r="AA162" s="823"/>
      <c r="AB162" s="823"/>
      <c r="AC162" s="823"/>
      <c r="AD162" s="823"/>
      <c r="AE162" s="823"/>
      <c r="AF162" s="823"/>
      <c r="AG162" s="823"/>
      <c r="AH162" s="823"/>
      <c r="AI162" s="823"/>
      <c r="AJ162" s="823"/>
      <c r="AK162" s="823"/>
      <c r="AL162" s="823"/>
      <c r="AM162" s="823"/>
      <c r="AN162" s="823"/>
      <c r="AO162" s="823"/>
      <c r="AP162" s="823"/>
      <c r="AQ162" s="823"/>
      <c r="AR162" s="823"/>
    </row>
    <row r="163" spans="1:44" s="19" customFormat="1" x14ac:dyDescent="0.25">
      <c r="A163" s="101"/>
      <c r="M163" s="20"/>
      <c r="V163" s="823"/>
      <c r="W163" s="823"/>
      <c r="X163" s="823"/>
      <c r="Y163" s="823"/>
      <c r="Z163" s="823"/>
      <c r="AA163" s="823"/>
      <c r="AB163" s="823"/>
      <c r="AC163" s="823"/>
      <c r="AD163" s="823"/>
      <c r="AE163" s="823"/>
      <c r="AF163" s="823"/>
      <c r="AG163" s="823"/>
      <c r="AH163" s="823"/>
      <c r="AI163" s="823"/>
      <c r="AJ163" s="823"/>
      <c r="AK163" s="823"/>
      <c r="AL163" s="823"/>
      <c r="AM163" s="823"/>
      <c r="AN163" s="823"/>
      <c r="AO163" s="823"/>
      <c r="AP163" s="823"/>
      <c r="AQ163" s="823"/>
      <c r="AR163" s="823"/>
    </row>
    <row r="164" spans="1:44" s="19" customFormat="1" x14ac:dyDescent="0.25">
      <c r="A164" s="101"/>
      <c r="M164" s="20"/>
      <c r="V164" s="823"/>
      <c r="W164" s="823"/>
      <c r="X164" s="823"/>
      <c r="Y164" s="823"/>
      <c r="Z164" s="823"/>
      <c r="AA164" s="823"/>
      <c r="AB164" s="823"/>
      <c r="AC164" s="823"/>
      <c r="AD164" s="823"/>
      <c r="AE164" s="823"/>
      <c r="AF164" s="823"/>
      <c r="AG164" s="823"/>
      <c r="AH164" s="823"/>
      <c r="AI164" s="823"/>
      <c r="AJ164" s="823"/>
      <c r="AK164" s="823"/>
      <c r="AL164" s="823"/>
      <c r="AM164" s="823"/>
      <c r="AN164" s="823"/>
      <c r="AO164" s="823"/>
      <c r="AP164" s="823"/>
      <c r="AQ164" s="823"/>
      <c r="AR164" s="823"/>
    </row>
    <row r="165" spans="1:44" s="19" customFormat="1" x14ac:dyDescent="0.25">
      <c r="A165" s="101"/>
      <c r="M165" s="20"/>
      <c r="V165" s="823"/>
      <c r="W165" s="823"/>
      <c r="X165" s="823"/>
      <c r="Y165" s="823"/>
      <c r="Z165" s="823"/>
      <c r="AA165" s="823"/>
      <c r="AB165" s="823"/>
      <c r="AC165" s="823"/>
      <c r="AD165" s="823"/>
      <c r="AE165" s="823"/>
      <c r="AF165" s="823"/>
      <c r="AG165" s="823"/>
      <c r="AH165" s="823"/>
      <c r="AI165" s="823"/>
      <c r="AJ165" s="823"/>
      <c r="AK165" s="823"/>
      <c r="AL165" s="823"/>
      <c r="AM165" s="823"/>
      <c r="AN165" s="823"/>
      <c r="AO165" s="823"/>
      <c r="AP165" s="823"/>
      <c r="AQ165" s="823"/>
      <c r="AR165" s="823"/>
    </row>
    <row r="166" spans="1:44" s="19" customFormat="1" x14ac:dyDescent="0.25">
      <c r="A166" s="101"/>
      <c r="M166" s="20"/>
      <c r="V166" s="823"/>
      <c r="W166" s="823"/>
      <c r="X166" s="823"/>
      <c r="Y166" s="823"/>
      <c r="Z166" s="823"/>
      <c r="AA166" s="823"/>
      <c r="AB166" s="823"/>
      <c r="AC166" s="823"/>
      <c r="AD166" s="823"/>
      <c r="AE166" s="823"/>
      <c r="AF166" s="823"/>
      <c r="AG166" s="823"/>
      <c r="AH166" s="823"/>
      <c r="AI166" s="823"/>
      <c r="AJ166" s="823"/>
      <c r="AK166" s="823"/>
      <c r="AL166" s="823"/>
      <c r="AM166" s="823"/>
      <c r="AN166" s="823"/>
      <c r="AO166" s="823"/>
      <c r="AP166" s="823"/>
      <c r="AQ166" s="823"/>
      <c r="AR166" s="823"/>
    </row>
    <row r="167" spans="1:44" s="19" customFormat="1" x14ac:dyDescent="0.25">
      <c r="A167" s="101"/>
      <c r="M167" s="20"/>
      <c r="V167" s="823"/>
      <c r="W167" s="823"/>
      <c r="X167" s="823"/>
      <c r="Y167" s="823"/>
      <c r="Z167" s="823"/>
      <c r="AA167" s="823"/>
      <c r="AB167" s="823"/>
      <c r="AC167" s="823"/>
      <c r="AD167" s="823"/>
      <c r="AE167" s="823"/>
      <c r="AF167" s="823"/>
      <c r="AG167" s="823"/>
      <c r="AH167" s="823"/>
      <c r="AI167" s="823"/>
      <c r="AJ167" s="823"/>
      <c r="AK167" s="823"/>
      <c r="AL167" s="823"/>
      <c r="AM167" s="823"/>
      <c r="AN167" s="823"/>
      <c r="AO167" s="823"/>
      <c r="AP167" s="823"/>
      <c r="AQ167" s="823"/>
      <c r="AR167" s="823"/>
    </row>
    <row r="168" spans="1:44" s="19" customFormat="1" x14ac:dyDescent="0.25">
      <c r="A168" s="101"/>
      <c r="M168" s="20"/>
      <c r="V168" s="823"/>
      <c r="W168" s="823"/>
      <c r="X168" s="823"/>
      <c r="Y168" s="823"/>
      <c r="Z168" s="823"/>
      <c r="AA168" s="823"/>
      <c r="AB168" s="823"/>
      <c r="AC168" s="823"/>
      <c r="AD168" s="823"/>
      <c r="AE168" s="823"/>
      <c r="AF168" s="823"/>
      <c r="AG168" s="823"/>
      <c r="AH168" s="823"/>
      <c r="AI168" s="823"/>
      <c r="AJ168" s="823"/>
      <c r="AK168" s="823"/>
      <c r="AL168" s="823"/>
      <c r="AM168" s="823"/>
      <c r="AN168" s="823"/>
      <c r="AO168" s="823"/>
      <c r="AP168" s="823"/>
      <c r="AQ168" s="823"/>
      <c r="AR168" s="823"/>
    </row>
    <row r="169" spans="1:44" s="19" customFormat="1" x14ac:dyDescent="0.25">
      <c r="A169" s="101"/>
      <c r="M169" s="20"/>
      <c r="V169" s="823"/>
      <c r="W169" s="823"/>
      <c r="X169" s="823"/>
      <c r="Y169" s="823"/>
      <c r="Z169" s="823"/>
      <c r="AA169" s="823"/>
      <c r="AB169" s="823"/>
      <c r="AC169" s="823"/>
      <c r="AD169" s="823"/>
      <c r="AE169" s="823"/>
      <c r="AF169" s="823"/>
      <c r="AG169" s="823"/>
      <c r="AH169" s="823"/>
      <c r="AI169" s="823"/>
      <c r="AJ169" s="823"/>
      <c r="AK169" s="823"/>
      <c r="AL169" s="823"/>
      <c r="AM169" s="823"/>
      <c r="AN169" s="823"/>
      <c r="AO169" s="823"/>
      <c r="AP169" s="823"/>
      <c r="AQ169" s="823"/>
      <c r="AR169" s="823"/>
    </row>
    <row r="170" spans="1:44" s="19" customFormat="1" x14ac:dyDescent="0.25">
      <c r="A170" s="101"/>
      <c r="M170" s="20"/>
      <c r="V170" s="823"/>
      <c r="W170" s="823"/>
      <c r="X170" s="823"/>
      <c r="Y170" s="823"/>
      <c r="Z170" s="823"/>
      <c r="AA170" s="823"/>
      <c r="AB170" s="823"/>
      <c r="AC170" s="823"/>
      <c r="AD170" s="823"/>
      <c r="AE170" s="823"/>
      <c r="AF170" s="823"/>
      <c r="AG170" s="823"/>
      <c r="AH170" s="823"/>
      <c r="AI170" s="823"/>
      <c r="AJ170" s="823"/>
      <c r="AK170" s="823"/>
      <c r="AL170" s="823"/>
      <c r="AM170" s="823"/>
      <c r="AN170" s="823"/>
      <c r="AO170" s="823"/>
      <c r="AP170" s="823"/>
      <c r="AQ170" s="823"/>
      <c r="AR170" s="823"/>
    </row>
    <row r="171" spans="1:44" s="19" customFormat="1" x14ac:dyDescent="0.25">
      <c r="A171" s="101"/>
      <c r="M171" s="20"/>
      <c r="V171" s="823"/>
      <c r="W171" s="823"/>
      <c r="X171" s="823"/>
      <c r="Y171" s="823"/>
      <c r="Z171" s="823"/>
      <c r="AA171" s="823"/>
      <c r="AB171" s="823"/>
      <c r="AC171" s="823"/>
      <c r="AD171" s="823"/>
      <c r="AE171" s="823"/>
      <c r="AF171" s="823"/>
      <c r="AG171" s="823"/>
      <c r="AH171" s="823"/>
      <c r="AI171" s="823"/>
      <c r="AJ171" s="823"/>
      <c r="AK171" s="823"/>
      <c r="AL171" s="823"/>
      <c r="AM171" s="823"/>
      <c r="AN171" s="823"/>
      <c r="AO171" s="823"/>
      <c r="AP171" s="823"/>
      <c r="AQ171" s="823"/>
      <c r="AR171" s="823"/>
    </row>
    <row r="172" spans="1:44" s="19" customFormat="1" x14ac:dyDescent="0.25">
      <c r="A172" s="101"/>
      <c r="M172" s="20"/>
      <c r="V172" s="823"/>
      <c r="W172" s="823"/>
      <c r="X172" s="823"/>
      <c r="Y172" s="823"/>
      <c r="Z172" s="823"/>
      <c r="AA172" s="823"/>
      <c r="AB172" s="823"/>
      <c r="AC172" s="823"/>
      <c r="AD172" s="823"/>
      <c r="AE172" s="823"/>
      <c r="AF172" s="823"/>
      <c r="AG172" s="823"/>
      <c r="AH172" s="823"/>
      <c r="AI172" s="823"/>
      <c r="AJ172" s="823"/>
      <c r="AK172" s="823"/>
      <c r="AL172" s="823"/>
      <c r="AM172" s="823"/>
      <c r="AN172" s="823"/>
      <c r="AO172" s="823"/>
      <c r="AP172" s="823"/>
      <c r="AQ172" s="823"/>
      <c r="AR172" s="823"/>
    </row>
    <row r="173" spans="1:44" s="19" customFormat="1" x14ac:dyDescent="0.25">
      <c r="A173" s="101"/>
      <c r="M173" s="20"/>
      <c r="V173" s="823"/>
      <c r="W173" s="823"/>
      <c r="X173" s="823"/>
      <c r="Y173" s="823"/>
      <c r="Z173" s="823"/>
      <c r="AA173" s="823"/>
      <c r="AB173" s="823"/>
      <c r="AC173" s="823"/>
      <c r="AD173" s="823"/>
      <c r="AE173" s="823"/>
      <c r="AF173" s="823"/>
      <c r="AG173" s="823"/>
      <c r="AH173" s="823"/>
      <c r="AI173" s="823"/>
      <c r="AJ173" s="823"/>
      <c r="AK173" s="823"/>
      <c r="AL173" s="823"/>
      <c r="AM173" s="823"/>
      <c r="AN173" s="823"/>
      <c r="AO173" s="823"/>
      <c r="AP173" s="823"/>
      <c r="AQ173" s="823"/>
      <c r="AR173" s="823"/>
    </row>
    <row r="174" spans="1:44" s="19" customFormat="1" x14ac:dyDescent="0.25">
      <c r="A174" s="101"/>
      <c r="M174" s="20"/>
      <c r="V174" s="823"/>
      <c r="W174" s="823"/>
      <c r="X174" s="823"/>
      <c r="Y174" s="823"/>
      <c r="Z174" s="823"/>
      <c r="AA174" s="823"/>
      <c r="AB174" s="823"/>
      <c r="AC174" s="823"/>
      <c r="AD174" s="823"/>
      <c r="AE174" s="823"/>
      <c r="AF174" s="823"/>
      <c r="AG174" s="823"/>
      <c r="AH174" s="823"/>
      <c r="AI174" s="823"/>
      <c r="AJ174" s="823"/>
      <c r="AK174" s="823"/>
      <c r="AL174" s="823"/>
      <c r="AM174" s="823"/>
      <c r="AN174" s="823"/>
      <c r="AO174" s="823"/>
      <c r="AP174" s="823"/>
      <c r="AQ174" s="823"/>
      <c r="AR174" s="823"/>
    </row>
    <row r="175" spans="1:44" s="19" customFormat="1" x14ac:dyDescent="0.25">
      <c r="A175" s="101"/>
      <c r="M175" s="20"/>
      <c r="V175" s="823"/>
      <c r="W175" s="823"/>
      <c r="X175" s="823"/>
      <c r="Y175" s="823"/>
      <c r="Z175" s="823"/>
      <c r="AA175" s="823"/>
      <c r="AB175" s="823"/>
      <c r="AC175" s="823"/>
      <c r="AD175" s="823"/>
      <c r="AE175" s="823"/>
      <c r="AF175" s="823"/>
      <c r="AG175" s="823"/>
      <c r="AH175" s="823"/>
      <c r="AI175" s="823"/>
      <c r="AJ175" s="823"/>
      <c r="AK175" s="823"/>
      <c r="AL175" s="823"/>
      <c r="AM175" s="823"/>
      <c r="AN175" s="823"/>
      <c r="AO175" s="823"/>
      <c r="AP175" s="823"/>
      <c r="AQ175" s="823"/>
      <c r="AR175" s="823"/>
    </row>
    <row r="176" spans="1:44" s="19" customFormat="1" x14ac:dyDescent="0.25">
      <c r="A176" s="101"/>
      <c r="M176" s="20"/>
      <c r="V176" s="823"/>
      <c r="W176" s="823"/>
      <c r="X176" s="823"/>
      <c r="Y176" s="823"/>
      <c r="Z176" s="823"/>
      <c r="AA176" s="823"/>
      <c r="AB176" s="823"/>
      <c r="AC176" s="823"/>
      <c r="AD176" s="823"/>
      <c r="AE176" s="823"/>
      <c r="AF176" s="823"/>
      <c r="AG176" s="823"/>
      <c r="AH176" s="823"/>
      <c r="AI176" s="823"/>
      <c r="AJ176" s="823"/>
      <c r="AK176" s="823"/>
      <c r="AL176" s="823"/>
      <c r="AM176" s="823"/>
      <c r="AN176" s="823"/>
      <c r="AO176" s="823"/>
      <c r="AP176" s="823"/>
      <c r="AQ176" s="823"/>
      <c r="AR176" s="823"/>
    </row>
    <row r="177" spans="1:44" s="19" customFormat="1" x14ac:dyDescent="0.25">
      <c r="A177" s="101"/>
      <c r="M177" s="20"/>
      <c r="V177" s="823"/>
      <c r="W177" s="823"/>
      <c r="X177" s="823"/>
      <c r="Y177" s="823"/>
      <c r="Z177" s="823"/>
      <c r="AA177" s="823"/>
      <c r="AB177" s="823"/>
      <c r="AC177" s="823"/>
      <c r="AD177" s="823"/>
      <c r="AE177" s="823"/>
      <c r="AF177" s="823"/>
      <c r="AG177" s="823"/>
      <c r="AH177" s="823"/>
      <c r="AI177" s="823"/>
      <c r="AJ177" s="823"/>
      <c r="AK177" s="823"/>
      <c r="AL177" s="823"/>
      <c r="AM177" s="823"/>
      <c r="AN177" s="823"/>
      <c r="AO177" s="823"/>
      <c r="AP177" s="823"/>
      <c r="AQ177" s="823"/>
      <c r="AR177" s="823"/>
    </row>
    <row r="178" spans="1:44" s="19" customFormat="1" x14ac:dyDescent="0.25">
      <c r="A178" s="101"/>
      <c r="M178" s="20"/>
      <c r="V178" s="823"/>
      <c r="W178" s="823"/>
      <c r="X178" s="823"/>
      <c r="Y178" s="823"/>
      <c r="Z178" s="823"/>
      <c r="AA178" s="823"/>
      <c r="AB178" s="823"/>
      <c r="AC178" s="823"/>
      <c r="AD178" s="823"/>
      <c r="AE178" s="823"/>
      <c r="AF178" s="823"/>
      <c r="AG178" s="823"/>
      <c r="AH178" s="823"/>
      <c r="AI178" s="823"/>
      <c r="AJ178" s="823"/>
      <c r="AK178" s="823"/>
      <c r="AL178" s="823"/>
      <c r="AM178" s="823"/>
      <c r="AN178" s="823"/>
      <c r="AO178" s="823"/>
      <c r="AP178" s="823"/>
      <c r="AQ178" s="823"/>
      <c r="AR178" s="823"/>
    </row>
    <row r="179" spans="1:44" s="19" customFormat="1" x14ac:dyDescent="0.25">
      <c r="A179" s="101"/>
      <c r="M179" s="20"/>
      <c r="V179" s="823"/>
      <c r="W179" s="823"/>
      <c r="X179" s="823"/>
      <c r="Y179" s="823"/>
      <c r="Z179" s="823"/>
      <c r="AA179" s="823"/>
      <c r="AB179" s="823"/>
      <c r="AC179" s="823"/>
      <c r="AD179" s="823"/>
      <c r="AE179" s="823"/>
      <c r="AF179" s="823"/>
      <c r="AG179" s="823"/>
      <c r="AH179" s="823"/>
      <c r="AI179" s="823"/>
      <c r="AJ179" s="823"/>
      <c r="AK179" s="823"/>
      <c r="AL179" s="823"/>
      <c r="AM179" s="823"/>
      <c r="AN179" s="823"/>
      <c r="AO179" s="823"/>
      <c r="AP179" s="823"/>
      <c r="AQ179" s="823"/>
      <c r="AR179" s="823"/>
    </row>
    <row r="180" spans="1:44" s="19" customFormat="1" x14ac:dyDescent="0.25">
      <c r="A180" s="101"/>
      <c r="M180" s="20"/>
      <c r="V180" s="823"/>
      <c r="W180" s="823"/>
      <c r="X180" s="823"/>
      <c r="Y180" s="823"/>
      <c r="Z180" s="823"/>
      <c r="AA180" s="823"/>
      <c r="AB180" s="823"/>
      <c r="AC180" s="823"/>
      <c r="AD180" s="823"/>
      <c r="AE180" s="823"/>
      <c r="AF180" s="823"/>
      <c r="AG180" s="823"/>
      <c r="AH180" s="823"/>
      <c r="AI180" s="823"/>
      <c r="AJ180" s="823"/>
      <c r="AK180" s="823"/>
      <c r="AL180" s="823"/>
      <c r="AM180" s="823"/>
      <c r="AN180" s="823"/>
      <c r="AO180" s="823"/>
      <c r="AP180" s="823"/>
      <c r="AQ180" s="823"/>
      <c r="AR180" s="823"/>
    </row>
    <row r="181" spans="1:44" s="19" customFormat="1" x14ac:dyDescent="0.25">
      <c r="A181" s="101"/>
      <c r="M181" s="20"/>
      <c r="V181" s="823"/>
      <c r="W181" s="823"/>
      <c r="X181" s="823"/>
      <c r="Y181" s="823"/>
      <c r="Z181" s="823"/>
      <c r="AA181" s="823"/>
      <c r="AB181" s="823"/>
      <c r="AC181" s="823"/>
      <c r="AD181" s="823"/>
      <c r="AE181" s="823"/>
      <c r="AF181" s="823"/>
      <c r="AG181" s="823"/>
      <c r="AH181" s="823"/>
      <c r="AI181" s="823"/>
      <c r="AJ181" s="823"/>
      <c r="AK181" s="823"/>
      <c r="AL181" s="823"/>
      <c r="AM181" s="823"/>
      <c r="AN181" s="823"/>
      <c r="AO181" s="823"/>
      <c r="AP181" s="823"/>
      <c r="AQ181" s="823"/>
      <c r="AR181" s="823"/>
    </row>
    <row r="182" spans="1:44" s="19" customFormat="1" x14ac:dyDescent="0.25">
      <c r="A182" s="101"/>
      <c r="M182" s="20"/>
      <c r="V182" s="823"/>
      <c r="W182" s="823"/>
      <c r="X182" s="823"/>
      <c r="Y182" s="823"/>
      <c r="Z182" s="823"/>
      <c r="AA182" s="823"/>
      <c r="AB182" s="823"/>
      <c r="AC182" s="823"/>
      <c r="AD182" s="823"/>
      <c r="AE182" s="823"/>
      <c r="AF182" s="823"/>
      <c r="AG182" s="823"/>
      <c r="AH182" s="823"/>
      <c r="AI182" s="823"/>
      <c r="AJ182" s="823"/>
      <c r="AK182" s="823"/>
      <c r="AL182" s="823"/>
      <c r="AM182" s="823"/>
      <c r="AN182" s="823"/>
      <c r="AO182" s="823"/>
      <c r="AP182" s="823"/>
      <c r="AQ182" s="823"/>
      <c r="AR182" s="823"/>
    </row>
    <row r="183" spans="1:44" s="19" customFormat="1" x14ac:dyDescent="0.25">
      <c r="A183" s="101"/>
      <c r="M183" s="20"/>
      <c r="V183" s="823"/>
      <c r="W183" s="823"/>
      <c r="X183" s="823"/>
      <c r="Y183" s="823"/>
      <c r="Z183" s="823"/>
      <c r="AA183" s="823"/>
      <c r="AB183" s="823"/>
      <c r="AC183" s="823"/>
      <c r="AD183" s="823"/>
      <c r="AE183" s="823"/>
      <c r="AF183" s="823"/>
      <c r="AG183" s="823"/>
      <c r="AH183" s="823"/>
      <c r="AI183" s="823"/>
      <c r="AJ183" s="823"/>
      <c r="AK183" s="823"/>
      <c r="AL183" s="823"/>
      <c r="AM183" s="823"/>
      <c r="AN183" s="823"/>
      <c r="AO183" s="823"/>
      <c r="AP183" s="823"/>
      <c r="AQ183" s="823"/>
      <c r="AR183" s="823"/>
    </row>
    <row r="184" spans="1:44" s="19" customFormat="1" x14ac:dyDescent="0.25">
      <c r="A184" s="101"/>
      <c r="M184" s="20"/>
      <c r="V184" s="823"/>
      <c r="W184" s="823"/>
      <c r="X184" s="823"/>
      <c r="Y184" s="823"/>
      <c r="Z184" s="823"/>
      <c r="AA184" s="823"/>
      <c r="AB184" s="823"/>
      <c r="AC184" s="823"/>
      <c r="AD184" s="823"/>
      <c r="AE184" s="823"/>
      <c r="AF184" s="823"/>
      <c r="AG184" s="823"/>
      <c r="AH184" s="823"/>
      <c r="AI184" s="823"/>
      <c r="AJ184" s="823"/>
      <c r="AK184" s="823"/>
      <c r="AL184" s="823"/>
      <c r="AM184" s="823"/>
      <c r="AN184" s="823"/>
      <c r="AO184" s="823"/>
      <c r="AP184" s="823"/>
      <c r="AQ184" s="823"/>
      <c r="AR184" s="823"/>
    </row>
    <row r="185" spans="1:44" s="19" customFormat="1" x14ac:dyDescent="0.25">
      <c r="A185" s="101"/>
      <c r="M185" s="20"/>
      <c r="V185" s="823"/>
      <c r="W185" s="823"/>
      <c r="X185" s="823"/>
      <c r="Y185" s="823"/>
      <c r="Z185" s="823"/>
      <c r="AA185" s="823"/>
      <c r="AB185" s="823"/>
      <c r="AC185" s="823"/>
      <c r="AD185" s="823"/>
      <c r="AE185" s="823"/>
      <c r="AF185" s="823"/>
      <c r="AG185" s="823"/>
      <c r="AH185" s="823"/>
      <c r="AI185" s="823"/>
      <c r="AJ185" s="823"/>
      <c r="AK185" s="823"/>
      <c r="AL185" s="823"/>
      <c r="AM185" s="823"/>
      <c r="AN185" s="823"/>
      <c r="AO185" s="823"/>
      <c r="AP185" s="823"/>
      <c r="AQ185" s="823"/>
      <c r="AR185" s="823"/>
    </row>
    <row r="186" spans="1:44" s="19" customFormat="1" x14ac:dyDescent="0.25">
      <c r="A186" s="101"/>
      <c r="M186" s="20"/>
      <c r="V186" s="823"/>
      <c r="W186" s="823"/>
      <c r="X186" s="823"/>
      <c r="Y186" s="823"/>
      <c r="Z186" s="823"/>
      <c r="AA186" s="823"/>
      <c r="AB186" s="823"/>
      <c r="AC186" s="823"/>
      <c r="AD186" s="823"/>
      <c r="AE186" s="823"/>
      <c r="AF186" s="823"/>
      <c r="AG186" s="823"/>
      <c r="AH186" s="823"/>
      <c r="AI186" s="823"/>
      <c r="AJ186" s="823"/>
      <c r="AK186" s="823"/>
      <c r="AL186" s="823"/>
      <c r="AM186" s="823"/>
      <c r="AN186" s="823"/>
      <c r="AO186" s="823"/>
      <c r="AP186" s="823"/>
      <c r="AQ186" s="823"/>
      <c r="AR186" s="823"/>
    </row>
    <row r="187" spans="1:44" s="15" customFormat="1" x14ac:dyDescent="0.25">
      <c r="A187" s="102"/>
      <c r="M187" s="16"/>
      <c r="V187" s="824"/>
      <c r="W187" s="824"/>
      <c r="X187" s="824"/>
      <c r="Y187" s="824"/>
      <c r="Z187" s="824"/>
      <c r="AA187" s="824"/>
      <c r="AB187" s="824"/>
      <c r="AC187" s="824"/>
      <c r="AD187" s="824"/>
      <c r="AE187" s="824"/>
      <c r="AF187" s="824"/>
      <c r="AG187" s="824"/>
      <c r="AH187" s="824"/>
      <c r="AI187" s="824"/>
      <c r="AJ187" s="824"/>
      <c r="AK187" s="824"/>
      <c r="AL187" s="824"/>
      <c r="AM187" s="824"/>
      <c r="AN187" s="824"/>
      <c r="AO187" s="824"/>
      <c r="AP187" s="824"/>
      <c r="AQ187" s="824"/>
      <c r="AR187" s="824"/>
    </row>
    <row r="188" spans="1:44" s="15" customFormat="1" x14ac:dyDescent="0.25">
      <c r="A188" s="102"/>
      <c r="M188" s="16"/>
      <c r="V188" s="824"/>
      <c r="W188" s="824"/>
      <c r="X188" s="824"/>
      <c r="Y188" s="824"/>
      <c r="Z188" s="824"/>
      <c r="AA188" s="824"/>
      <c r="AB188" s="824"/>
      <c r="AC188" s="824"/>
      <c r="AD188" s="824"/>
      <c r="AE188" s="824"/>
      <c r="AF188" s="824"/>
      <c r="AG188" s="824"/>
      <c r="AH188" s="824"/>
      <c r="AI188" s="824"/>
      <c r="AJ188" s="824"/>
      <c r="AK188" s="824"/>
      <c r="AL188" s="824"/>
      <c r="AM188" s="824"/>
      <c r="AN188" s="824"/>
      <c r="AO188" s="824"/>
      <c r="AP188" s="824"/>
      <c r="AQ188" s="824"/>
      <c r="AR188" s="824"/>
    </row>
    <row r="189" spans="1:44" s="15" customFormat="1" x14ac:dyDescent="0.25">
      <c r="A189" s="102"/>
      <c r="M189" s="16"/>
      <c r="V189" s="824"/>
      <c r="W189" s="824"/>
      <c r="X189" s="824"/>
      <c r="Y189" s="824"/>
      <c r="Z189" s="824"/>
      <c r="AA189" s="824"/>
      <c r="AB189" s="824"/>
      <c r="AC189" s="824"/>
      <c r="AD189" s="824"/>
      <c r="AE189" s="824"/>
      <c r="AF189" s="824"/>
      <c r="AG189" s="824"/>
      <c r="AH189" s="824"/>
      <c r="AI189" s="824"/>
      <c r="AJ189" s="824"/>
      <c r="AK189" s="824"/>
      <c r="AL189" s="824"/>
      <c r="AM189" s="824"/>
      <c r="AN189" s="824"/>
      <c r="AO189" s="824"/>
      <c r="AP189" s="824"/>
      <c r="AQ189" s="824"/>
      <c r="AR189" s="824"/>
    </row>
    <row r="190" spans="1:44" s="15" customFormat="1" x14ac:dyDescent="0.25">
      <c r="A190" s="102"/>
      <c r="M190" s="16"/>
      <c r="V190" s="824"/>
      <c r="W190" s="824"/>
      <c r="X190" s="824"/>
      <c r="Y190" s="824"/>
      <c r="Z190" s="824"/>
      <c r="AA190" s="824"/>
      <c r="AB190" s="824"/>
      <c r="AC190" s="824"/>
      <c r="AD190" s="824"/>
      <c r="AE190" s="824"/>
      <c r="AF190" s="824"/>
      <c r="AG190" s="824"/>
      <c r="AH190" s="824"/>
      <c r="AI190" s="824"/>
      <c r="AJ190" s="824"/>
      <c r="AK190" s="824"/>
      <c r="AL190" s="824"/>
      <c r="AM190" s="824"/>
      <c r="AN190" s="824"/>
      <c r="AO190" s="824"/>
      <c r="AP190" s="824"/>
      <c r="AQ190" s="824"/>
      <c r="AR190" s="824"/>
    </row>
    <row r="191" spans="1:44" s="15" customFormat="1" x14ac:dyDescent="0.25">
      <c r="A191" s="102"/>
      <c r="M191" s="16"/>
      <c r="V191" s="824"/>
      <c r="W191" s="824"/>
      <c r="X191" s="824"/>
      <c r="Y191" s="824"/>
      <c r="Z191" s="824"/>
      <c r="AA191" s="824"/>
      <c r="AB191" s="824"/>
      <c r="AC191" s="824"/>
      <c r="AD191" s="824"/>
      <c r="AE191" s="824"/>
      <c r="AF191" s="824"/>
      <c r="AG191" s="824"/>
      <c r="AH191" s="824"/>
      <c r="AI191" s="824"/>
      <c r="AJ191" s="824"/>
      <c r="AK191" s="824"/>
      <c r="AL191" s="824"/>
      <c r="AM191" s="824"/>
      <c r="AN191" s="824"/>
      <c r="AO191" s="824"/>
      <c r="AP191" s="824"/>
      <c r="AQ191" s="824"/>
      <c r="AR191" s="824"/>
    </row>
    <row r="192" spans="1:44" s="15" customFormat="1" x14ac:dyDescent="0.25">
      <c r="A192" s="102"/>
      <c r="M192" s="16"/>
      <c r="V192" s="824"/>
      <c r="W192" s="824"/>
      <c r="X192" s="824"/>
      <c r="Y192" s="824"/>
      <c r="Z192" s="824"/>
      <c r="AA192" s="824"/>
      <c r="AB192" s="824"/>
      <c r="AC192" s="824"/>
      <c r="AD192" s="824"/>
      <c r="AE192" s="824"/>
      <c r="AF192" s="824"/>
      <c r="AG192" s="824"/>
      <c r="AH192" s="824"/>
      <c r="AI192" s="824"/>
      <c r="AJ192" s="824"/>
      <c r="AK192" s="824"/>
      <c r="AL192" s="824"/>
      <c r="AM192" s="824"/>
      <c r="AN192" s="824"/>
      <c r="AO192" s="824"/>
      <c r="AP192" s="824"/>
      <c r="AQ192" s="824"/>
      <c r="AR192" s="824"/>
    </row>
    <row r="193" spans="1:44" s="15" customFormat="1" x14ac:dyDescent="0.25">
      <c r="A193" s="102"/>
      <c r="M193" s="16"/>
      <c r="V193" s="824"/>
      <c r="W193" s="824"/>
      <c r="X193" s="824"/>
      <c r="Y193" s="824"/>
      <c r="Z193" s="824"/>
      <c r="AA193" s="824"/>
      <c r="AB193" s="824"/>
      <c r="AC193" s="824"/>
      <c r="AD193" s="824"/>
      <c r="AE193" s="824"/>
      <c r="AF193" s="824"/>
      <c r="AG193" s="824"/>
      <c r="AH193" s="824"/>
      <c r="AI193" s="824"/>
      <c r="AJ193" s="824"/>
      <c r="AK193" s="824"/>
      <c r="AL193" s="824"/>
      <c r="AM193" s="824"/>
      <c r="AN193" s="824"/>
      <c r="AO193" s="824"/>
      <c r="AP193" s="824"/>
      <c r="AQ193" s="824"/>
      <c r="AR193" s="824"/>
    </row>
    <row r="194" spans="1:44" s="15" customFormat="1" x14ac:dyDescent="0.25">
      <c r="A194" s="102"/>
      <c r="M194" s="16"/>
      <c r="V194" s="824"/>
      <c r="W194" s="824"/>
      <c r="X194" s="824"/>
      <c r="Y194" s="824"/>
      <c r="Z194" s="824"/>
      <c r="AA194" s="824"/>
      <c r="AB194" s="824"/>
      <c r="AC194" s="824"/>
      <c r="AD194" s="824"/>
      <c r="AE194" s="824"/>
      <c r="AF194" s="824"/>
      <c r="AG194" s="824"/>
      <c r="AH194" s="824"/>
      <c r="AI194" s="824"/>
      <c r="AJ194" s="824"/>
      <c r="AK194" s="824"/>
      <c r="AL194" s="824"/>
      <c r="AM194" s="824"/>
      <c r="AN194" s="824"/>
      <c r="AO194" s="824"/>
      <c r="AP194" s="824"/>
      <c r="AQ194" s="824"/>
      <c r="AR194" s="824"/>
    </row>
    <row r="195" spans="1:44" s="15" customFormat="1" x14ac:dyDescent="0.25">
      <c r="A195" s="102"/>
      <c r="M195" s="16"/>
      <c r="V195" s="824"/>
      <c r="W195" s="824"/>
      <c r="X195" s="824"/>
      <c r="Y195" s="824"/>
      <c r="Z195" s="824"/>
      <c r="AA195" s="824"/>
      <c r="AB195" s="824"/>
      <c r="AC195" s="824"/>
      <c r="AD195" s="824"/>
      <c r="AE195" s="824"/>
      <c r="AF195" s="824"/>
      <c r="AG195" s="824"/>
      <c r="AH195" s="824"/>
      <c r="AI195" s="824"/>
      <c r="AJ195" s="824"/>
      <c r="AK195" s="824"/>
      <c r="AL195" s="824"/>
      <c r="AM195" s="824"/>
      <c r="AN195" s="824"/>
      <c r="AO195" s="824"/>
      <c r="AP195" s="824"/>
      <c r="AQ195" s="824"/>
      <c r="AR195" s="824"/>
    </row>
    <row r="196" spans="1:44" s="15" customFormat="1" x14ac:dyDescent="0.25">
      <c r="A196" s="102"/>
      <c r="M196" s="16"/>
      <c r="V196" s="824"/>
      <c r="W196" s="824"/>
      <c r="X196" s="824"/>
      <c r="Y196" s="824"/>
      <c r="Z196" s="824"/>
      <c r="AA196" s="824"/>
      <c r="AB196" s="824"/>
      <c r="AC196" s="824"/>
      <c r="AD196" s="824"/>
      <c r="AE196" s="824"/>
      <c r="AF196" s="824"/>
      <c r="AG196" s="824"/>
      <c r="AH196" s="824"/>
      <c r="AI196" s="824"/>
      <c r="AJ196" s="824"/>
      <c r="AK196" s="824"/>
      <c r="AL196" s="824"/>
      <c r="AM196" s="824"/>
      <c r="AN196" s="824"/>
      <c r="AO196" s="824"/>
      <c r="AP196" s="824"/>
      <c r="AQ196" s="824"/>
      <c r="AR196" s="824"/>
    </row>
    <row r="197" spans="1:44" s="15" customFormat="1" x14ac:dyDescent="0.25">
      <c r="A197" s="102"/>
      <c r="M197" s="16"/>
      <c r="V197" s="824"/>
      <c r="W197" s="824"/>
      <c r="X197" s="824"/>
      <c r="Y197" s="824"/>
      <c r="Z197" s="824"/>
      <c r="AA197" s="824"/>
      <c r="AB197" s="824"/>
      <c r="AC197" s="824"/>
      <c r="AD197" s="824"/>
      <c r="AE197" s="824"/>
      <c r="AF197" s="824"/>
      <c r="AG197" s="824"/>
      <c r="AH197" s="824"/>
      <c r="AI197" s="824"/>
      <c r="AJ197" s="824"/>
      <c r="AK197" s="824"/>
      <c r="AL197" s="824"/>
      <c r="AM197" s="824"/>
      <c r="AN197" s="824"/>
      <c r="AO197" s="824"/>
      <c r="AP197" s="824"/>
      <c r="AQ197" s="824"/>
      <c r="AR197" s="824"/>
    </row>
    <row r="198" spans="1:44" s="15" customFormat="1" x14ac:dyDescent="0.25">
      <c r="A198" s="102"/>
      <c r="M198" s="16"/>
      <c r="V198" s="824"/>
      <c r="W198" s="824"/>
      <c r="X198" s="824"/>
      <c r="Y198" s="824"/>
      <c r="Z198" s="824"/>
      <c r="AA198" s="824"/>
      <c r="AB198" s="824"/>
      <c r="AC198" s="824"/>
      <c r="AD198" s="824"/>
      <c r="AE198" s="824"/>
      <c r="AF198" s="824"/>
      <c r="AG198" s="824"/>
      <c r="AH198" s="824"/>
      <c r="AI198" s="824"/>
      <c r="AJ198" s="824"/>
      <c r="AK198" s="824"/>
      <c r="AL198" s="824"/>
      <c r="AM198" s="824"/>
      <c r="AN198" s="824"/>
      <c r="AO198" s="824"/>
      <c r="AP198" s="824"/>
      <c r="AQ198" s="824"/>
      <c r="AR198" s="824"/>
    </row>
    <row r="199" spans="1:44" s="15" customFormat="1" x14ac:dyDescent="0.25">
      <c r="A199" s="102"/>
      <c r="M199" s="16"/>
      <c r="V199" s="824"/>
      <c r="W199" s="824"/>
      <c r="X199" s="824"/>
      <c r="Y199" s="824"/>
      <c r="Z199" s="824"/>
      <c r="AA199" s="824"/>
      <c r="AB199" s="824"/>
      <c r="AC199" s="824"/>
      <c r="AD199" s="824"/>
      <c r="AE199" s="824"/>
      <c r="AF199" s="824"/>
      <c r="AG199" s="824"/>
      <c r="AH199" s="824"/>
      <c r="AI199" s="824"/>
      <c r="AJ199" s="824"/>
      <c r="AK199" s="824"/>
      <c r="AL199" s="824"/>
      <c r="AM199" s="824"/>
      <c r="AN199" s="824"/>
      <c r="AO199" s="824"/>
      <c r="AP199" s="824"/>
      <c r="AQ199" s="824"/>
      <c r="AR199" s="824"/>
    </row>
    <row r="200" spans="1:44" s="15" customFormat="1" x14ac:dyDescent="0.25">
      <c r="A200" s="102"/>
      <c r="M200" s="16"/>
      <c r="V200" s="824"/>
      <c r="W200" s="824"/>
      <c r="X200" s="824"/>
      <c r="Y200" s="824"/>
      <c r="Z200" s="824"/>
      <c r="AA200" s="824"/>
      <c r="AB200" s="824"/>
      <c r="AC200" s="824"/>
      <c r="AD200" s="824"/>
      <c r="AE200" s="824"/>
      <c r="AF200" s="824"/>
      <c r="AG200" s="824"/>
      <c r="AH200" s="824"/>
      <c r="AI200" s="824"/>
      <c r="AJ200" s="824"/>
      <c r="AK200" s="824"/>
      <c r="AL200" s="824"/>
      <c r="AM200" s="824"/>
      <c r="AN200" s="824"/>
      <c r="AO200" s="824"/>
      <c r="AP200" s="824"/>
      <c r="AQ200" s="824"/>
      <c r="AR200" s="824"/>
    </row>
    <row r="201" spans="1:44" s="15" customFormat="1" x14ac:dyDescent="0.25">
      <c r="A201" s="102"/>
      <c r="M201" s="16"/>
      <c r="V201" s="824"/>
      <c r="W201" s="824"/>
      <c r="X201" s="824"/>
      <c r="Y201" s="824"/>
      <c r="Z201" s="824"/>
      <c r="AA201" s="824"/>
      <c r="AB201" s="824"/>
      <c r="AC201" s="824"/>
      <c r="AD201" s="824"/>
      <c r="AE201" s="824"/>
      <c r="AF201" s="824"/>
      <c r="AG201" s="824"/>
      <c r="AH201" s="824"/>
      <c r="AI201" s="824"/>
      <c r="AJ201" s="824"/>
      <c r="AK201" s="824"/>
      <c r="AL201" s="824"/>
      <c r="AM201" s="824"/>
      <c r="AN201" s="824"/>
      <c r="AO201" s="824"/>
      <c r="AP201" s="824"/>
      <c r="AQ201" s="824"/>
      <c r="AR201" s="824"/>
    </row>
    <row r="202" spans="1:44" s="15" customFormat="1" x14ac:dyDescent="0.25">
      <c r="A202" s="102"/>
      <c r="M202" s="16"/>
      <c r="V202" s="824"/>
      <c r="W202" s="824"/>
      <c r="X202" s="824"/>
      <c r="Y202" s="824"/>
      <c r="Z202" s="824"/>
      <c r="AA202" s="824"/>
      <c r="AB202" s="824"/>
      <c r="AC202" s="824"/>
      <c r="AD202" s="824"/>
      <c r="AE202" s="824"/>
      <c r="AF202" s="824"/>
      <c r="AG202" s="824"/>
      <c r="AH202" s="824"/>
      <c r="AI202" s="824"/>
      <c r="AJ202" s="824"/>
      <c r="AK202" s="824"/>
      <c r="AL202" s="824"/>
      <c r="AM202" s="824"/>
      <c r="AN202" s="824"/>
      <c r="AO202" s="824"/>
      <c r="AP202" s="824"/>
      <c r="AQ202" s="824"/>
      <c r="AR202" s="824"/>
    </row>
    <row r="203" spans="1:44" s="15" customFormat="1" x14ac:dyDescent="0.25">
      <c r="A203" s="102"/>
      <c r="M203" s="16"/>
      <c r="V203" s="824"/>
      <c r="W203" s="824"/>
      <c r="X203" s="824"/>
      <c r="Y203" s="824"/>
      <c r="Z203" s="824"/>
      <c r="AA203" s="824"/>
      <c r="AB203" s="824"/>
      <c r="AC203" s="824"/>
      <c r="AD203" s="824"/>
      <c r="AE203" s="824"/>
      <c r="AF203" s="824"/>
      <c r="AG203" s="824"/>
      <c r="AH203" s="824"/>
      <c r="AI203" s="824"/>
      <c r="AJ203" s="824"/>
      <c r="AK203" s="824"/>
      <c r="AL203" s="824"/>
      <c r="AM203" s="824"/>
      <c r="AN203" s="824"/>
      <c r="AO203" s="824"/>
      <c r="AP203" s="824"/>
      <c r="AQ203" s="824"/>
      <c r="AR203" s="824"/>
    </row>
    <row r="204" spans="1:44" s="15" customFormat="1" x14ac:dyDescent="0.25">
      <c r="A204" s="102"/>
      <c r="M204" s="16"/>
      <c r="V204" s="824"/>
      <c r="W204" s="824"/>
      <c r="X204" s="824"/>
      <c r="Y204" s="824"/>
      <c r="Z204" s="824"/>
      <c r="AA204" s="824"/>
      <c r="AB204" s="824"/>
      <c r="AC204" s="824"/>
      <c r="AD204" s="824"/>
      <c r="AE204" s="824"/>
      <c r="AF204" s="824"/>
      <c r="AG204" s="824"/>
      <c r="AH204" s="824"/>
      <c r="AI204" s="824"/>
      <c r="AJ204" s="824"/>
      <c r="AK204" s="824"/>
      <c r="AL204" s="824"/>
      <c r="AM204" s="824"/>
      <c r="AN204" s="824"/>
      <c r="AO204" s="824"/>
      <c r="AP204" s="824"/>
      <c r="AQ204" s="824"/>
      <c r="AR204" s="824"/>
    </row>
    <row r="205" spans="1:44" s="15" customFormat="1" x14ac:dyDescent="0.25">
      <c r="A205" s="102"/>
      <c r="M205" s="16"/>
      <c r="V205" s="824"/>
      <c r="W205" s="824"/>
      <c r="X205" s="824"/>
      <c r="Y205" s="824"/>
      <c r="Z205" s="824"/>
      <c r="AA205" s="824"/>
      <c r="AB205" s="824"/>
      <c r="AC205" s="824"/>
      <c r="AD205" s="824"/>
      <c r="AE205" s="824"/>
      <c r="AF205" s="824"/>
      <c r="AG205" s="824"/>
      <c r="AH205" s="824"/>
      <c r="AI205" s="824"/>
      <c r="AJ205" s="824"/>
      <c r="AK205" s="824"/>
      <c r="AL205" s="824"/>
      <c r="AM205" s="824"/>
      <c r="AN205" s="824"/>
      <c r="AO205" s="824"/>
      <c r="AP205" s="824"/>
      <c r="AQ205" s="824"/>
      <c r="AR205" s="824"/>
    </row>
    <row r="206" spans="1:44" s="15" customFormat="1" x14ac:dyDescent="0.25">
      <c r="A206" s="102"/>
      <c r="M206" s="16"/>
      <c r="V206" s="824"/>
      <c r="W206" s="824"/>
      <c r="X206" s="824"/>
      <c r="Y206" s="824"/>
      <c r="Z206" s="824"/>
      <c r="AA206" s="824"/>
      <c r="AB206" s="824"/>
      <c r="AC206" s="824"/>
      <c r="AD206" s="824"/>
      <c r="AE206" s="824"/>
      <c r="AF206" s="824"/>
      <c r="AG206" s="824"/>
      <c r="AH206" s="824"/>
      <c r="AI206" s="824"/>
      <c r="AJ206" s="824"/>
      <c r="AK206" s="824"/>
      <c r="AL206" s="824"/>
      <c r="AM206" s="824"/>
      <c r="AN206" s="824"/>
      <c r="AO206" s="824"/>
      <c r="AP206" s="824"/>
      <c r="AQ206" s="824"/>
      <c r="AR206" s="824"/>
    </row>
    <row r="207" spans="1:44" s="15" customFormat="1" x14ac:dyDescent="0.25">
      <c r="A207" s="102"/>
      <c r="M207" s="16"/>
      <c r="V207" s="824"/>
      <c r="W207" s="824"/>
      <c r="X207" s="824"/>
      <c r="Y207" s="824"/>
      <c r="Z207" s="824"/>
      <c r="AA207" s="824"/>
      <c r="AB207" s="824"/>
      <c r="AC207" s="824"/>
      <c r="AD207" s="824"/>
      <c r="AE207" s="824"/>
      <c r="AF207" s="824"/>
      <c r="AG207" s="824"/>
      <c r="AH207" s="824"/>
      <c r="AI207" s="824"/>
      <c r="AJ207" s="824"/>
      <c r="AK207" s="824"/>
      <c r="AL207" s="824"/>
      <c r="AM207" s="824"/>
      <c r="AN207" s="824"/>
      <c r="AO207" s="824"/>
      <c r="AP207" s="824"/>
      <c r="AQ207" s="824"/>
      <c r="AR207" s="824"/>
    </row>
    <row r="208" spans="1:44" s="15" customFormat="1" x14ac:dyDescent="0.25">
      <c r="A208" s="102"/>
      <c r="M208" s="16"/>
      <c r="V208" s="824"/>
      <c r="W208" s="824"/>
      <c r="X208" s="824"/>
      <c r="Y208" s="824"/>
      <c r="Z208" s="824"/>
      <c r="AA208" s="824"/>
      <c r="AB208" s="824"/>
      <c r="AC208" s="824"/>
      <c r="AD208" s="824"/>
      <c r="AE208" s="824"/>
      <c r="AF208" s="824"/>
      <c r="AG208" s="824"/>
      <c r="AH208" s="824"/>
      <c r="AI208" s="824"/>
      <c r="AJ208" s="824"/>
      <c r="AK208" s="824"/>
      <c r="AL208" s="824"/>
      <c r="AM208" s="824"/>
      <c r="AN208" s="824"/>
      <c r="AO208" s="824"/>
      <c r="AP208" s="824"/>
      <c r="AQ208" s="824"/>
      <c r="AR208" s="824"/>
    </row>
    <row r="209" spans="1:44" s="15" customFormat="1" x14ac:dyDescent="0.25">
      <c r="A209" s="102"/>
      <c r="M209" s="16"/>
      <c r="V209" s="824"/>
      <c r="W209" s="824"/>
      <c r="X209" s="824"/>
      <c r="Y209" s="824"/>
      <c r="Z209" s="824"/>
      <c r="AA209" s="824"/>
      <c r="AB209" s="824"/>
      <c r="AC209" s="824"/>
      <c r="AD209" s="824"/>
      <c r="AE209" s="824"/>
      <c r="AF209" s="824"/>
      <c r="AG209" s="824"/>
      <c r="AH209" s="824"/>
      <c r="AI209" s="824"/>
      <c r="AJ209" s="824"/>
      <c r="AK209" s="824"/>
      <c r="AL209" s="824"/>
      <c r="AM209" s="824"/>
      <c r="AN209" s="824"/>
      <c r="AO209" s="824"/>
      <c r="AP209" s="824"/>
      <c r="AQ209" s="824"/>
      <c r="AR209" s="824"/>
    </row>
    <row r="210" spans="1:44" s="15" customFormat="1" x14ac:dyDescent="0.25">
      <c r="A210" s="102"/>
      <c r="M210" s="16"/>
      <c r="V210" s="824"/>
      <c r="W210" s="824"/>
      <c r="X210" s="824"/>
      <c r="Y210" s="824"/>
      <c r="Z210" s="824"/>
      <c r="AA210" s="824"/>
      <c r="AB210" s="824"/>
      <c r="AC210" s="824"/>
      <c r="AD210" s="824"/>
      <c r="AE210" s="824"/>
      <c r="AF210" s="824"/>
      <c r="AG210" s="824"/>
      <c r="AH210" s="824"/>
      <c r="AI210" s="824"/>
      <c r="AJ210" s="824"/>
      <c r="AK210" s="824"/>
      <c r="AL210" s="824"/>
      <c r="AM210" s="824"/>
      <c r="AN210" s="824"/>
      <c r="AO210" s="824"/>
      <c r="AP210" s="824"/>
      <c r="AQ210" s="824"/>
      <c r="AR210" s="824"/>
    </row>
    <row r="211" spans="1:44" s="15" customFormat="1" x14ac:dyDescent="0.25">
      <c r="A211" s="102"/>
      <c r="M211" s="16"/>
      <c r="V211" s="824"/>
      <c r="W211" s="824"/>
      <c r="X211" s="824"/>
      <c r="Y211" s="824"/>
      <c r="Z211" s="824"/>
      <c r="AA211" s="824"/>
      <c r="AB211" s="824"/>
      <c r="AC211" s="824"/>
      <c r="AD211" s="824"/>
      <c r="AE211" s="824"/>
      <c r="AF211" s="824"/>
      <c r="AG211" s="824"/>
      <c r="AH211" s="824"/>
      <c r="AI211" s="824"/>
      <c r="AJ211" s="824"/>
      <c r="AK211" s="824"/>
      <c r="AL211" s="824"/>
      <c r="AM211" s="824"/>
      <c r="AN211" s="824"/>
      <c r="AO211" s="824"/>
      <c r="AP211" s="824"/>
      <c r="AQ211" s="824"/>
      <c r="AR211" s="824"/>
    </row>
    <row r="212" spans="1:44" s="15" customFormat="1" x14ac:dyDescent="0.25">
      <c r="A212" s="102"/>
      <c r="M212" s="16"/>
      <c r="V212" s="824"/>
      <c r="W212" s="824"/>
      <c r="X212" s="824"/>
      <c r="Y212" s="824"/>
      <c r="Z212" s="824"/>
      <c r="AA212" s="824"/>
      <c r="AB212" s="824"/>
      <c r="AC212" s="824"/>
      <c r="AD212" s="824"/>
      <c r="AE212" s="824"/>
      <c r="AF212" s="824"/>
      <c r="AG212" s="824"/>
      <c r="AH212" s="824"/>
      <c r="AI212" s="824"/>
      <c r="AJ212" s="824"/>
      <c r="AK212" s="824"/>
      <c r="AL212" s="824"/>
      <c r="AM212" s="824"/>
      <c r="AN212" s="824"/>
      <c r="AO212" s="824"/>
      <c r="AP212" s="824"/>
      <c r="AQ212" s="824"/>
      <c r="AR212" s="824"/>
    </row>
    <row r="213" spans="1:44" s="15" customFormat="1" x14ac:dyDescent="0.25">
      <c r="A213" s="102"/>
      <c r="M213" s="16"/>
      <c r="V213" s="824"/>
      <c r="W213" s="824"/>
      <c r="X213" s="824"/>
      <c r="Y213" s="824"/>
      <c r="Z213" s="824"/>
      <c r="AA213" s="824"/>
      <c r="AB213" s="824"/>
      <c r="AC213" s="824"/>
      <c r="AD213" s="824"/>
      <c r="AE213" s="824"/>
      <c r="AF213" s="824"/>
      <c r="AG213" s="824"/>
      <c r="AH213" s="824"/>
      <c r="AI213" s="824"/>
      <c r="AJ213" s="824"/>
      <c r="AK213" s="824"/>
      <c r="AL213" s="824"/>
      <c r="AM213" s="824"/>
      <c r="AN213" s="824"/>
      <c r="AO213" s="824"/>
      <c r="AP213" s="824"/>
      <c r="AQ213" s="824"/>
      <c r="AR213" s="824"/>
    </row>
    <row r="214" spans="1:44" s="15" customFormat="1" x14ac:dyDescent="0.25">
      <c r="A214" s="102"/>
      <c r="M214" s="16"/>
      <c r="V214" s="824"/>
      <c r="W214" s="824"/>
      <c r="X214" s="824"/>
      <c r="Y214" s="824"/>
      <c r="Z214" s="824"/>
      <c r="AA214" s="824"/>
      <c r="AB214" s="824"/>
      <c r="AC214" s="824"/>
      <c r="AD214" s="824"/>
      <c r="AE214" s="824"/>
      <c r="AF214" s="824"/>
      <c r="AG214" s="824"/>
      <c r="AH214" s="824"/>
      <c r="AI214" s="824"/>
      <c r="AJ214" s="824"/>
      <c r="AK214" s="824"/>
      <c r="AL214" s="824"/>
      <c r="AM214" s="824"/>
      <c r="AN214" s="824"/>
      <c r="AO214" s="824"/>
      <c r="AP214" s="824"/>
      <c r="AQ214" s="824"/>
      <c r="AR214" s="824"/>
    </row>
    <row r="215" spans="1:44" s="15" customFormat="1" x14ac:dyDescent="0.25">
      <c r="A215" s="102"/>
      <c r="M215" s="16"/>
      <c r="V215" s="824"/>
      <c r="W215" s="824"/>
      <c r="X215" s="824"/>
      <c r="Y215" s="824"/>
      <c r="Z215" s="824"/>
      <c r="AA215" s="824"/>
      <c r="AB215" s="824"/>
      <c r="AC215" s="824"/>
      <c r="AD215" s="824"/>
      <c r="AE215" s="824"/>
      <c r="AF215" s="824"/>
      <c r="AG215" s="824"/>
      <c r="AH215" s="824"/>
      <c r="AI215" s="824"/>
      <c r="AJ215" s="824"/>
      <c r="AK215" s="824"/>
      <c r="AL215" s="824"/>
      <c r="AM215" s="824"/>
      <c r="AN215" s="824"/>
      <c r="AO215" s="824"/>
      <c r="AP215" s="824"/>
      <c r="AQ215" s="824"/>
      <c r="AR215" s="824"/>
    </row>
    <row r="216" spans="1:44" s="15" customFormat="1" x14ac:dyDescent="0.25">
      <c r="A216" s="102"/>
      <c r="M216" s="16"/>
      <c r="V216" s="824"/>
      <c r="W216" s="824"/>
      <c r="X216" s="824"/>
      <c r="Y216" s="824"/>
      <c r="Z216" s="824"/>
      <c r="AA216" s="824"/>
      <c r="AB216" s="824"/>
      <c r="AC216" s="824"/>
      <c r="AD216" s="824"/>
      <c r="AE216" s="824"/>
      <c r="AF216" s="824"/>
      <c r="AG216" s="824"/>
      <c r="AH216" s="824"/>
      <c r="AI216" s="824"/>
      <c r="AJ216" s="824"/>
      <c r="AK216" s="824"/>
      <c r="AL216" s="824"/>
      <c r="AM216" s="824"/>
      <c r="AN216" s="824"/>
      <c r="AO216" s="824"/>
      <c r="AP216" s="824"/>
      <c r="AQ216" s="824"/>
      <c r="AR216" s="824"/>
    </row>
    <row r="217" spans="1:44" s="15" customFormat="1" x14ac:dyDescent="0.25">
      <c r="A217" s="102"/>
      <c r="M217" s="16"/>
      <c r="V217" s="824"/>
      <c r="W217" s="824"/>
      <c r="X217" s="824"/>
      <c r="Y217" s="824"/>
      <c r="Z217" s="824"/>
      <c r="AA217" s="824"/>
      <c r="AB217" s="824"/>
      <c r="AC217" s="824"/>
      <c r="AD217" s="824"/>
      <c r="AE217" s="824"/>
      <c r="AF217" s="824"/>
      <c r="AG217" s="824"/>
      <c r="AH217" s="824"/>
      <c r="AI217" s="824"/>
      <c r="AJ217" s="824"/>
      <c r="AK217" s="824"/>
      <c r="AL217" s="824"/>
      <c r="AM217" s="824"/>
      <c r="AN217" s="824"/>
      <c r="AO217" s="824"/>
      <c r="AP217" s="824"/>
      <c r="AQ217" s="824"/>
      <c r="AR217" s="824"/>
    </row>
    <row r="218" spans="1:44" s="15" customFormat="1" x14ac:dyDescent="0.25">
      <c r="A218" s="102"/>
      <c r="M218" s="16"/>
      <c r="V218" s="824"/>
      <c r="W218" s="824"/>
      <c r="X218" s="824"/>
      <c r="Y218" s="824"/>
      <c r="Z218" s="824"/>
      <c r="AA218" s="824"/>
      <c r="AB218" s="824"/>
      <c r="AC218" s="824"/>
      <c r="AD218" s="824"/>
      <c r="AE218" s="824"/>
      <c r="AF218" s="824"/>
      <c r="AG218" s="824"/>
      <c r="AH218" s="824"/>
      <c r="AI218" s="824"/>
      <c r="AJ218" s="824"/>
      <c r="AK218" s="824"/>
      <c r="AL218" s="824"/>
      <c r="AM218" s="824"/>
      <c r="AN218" s="824"/>
      <c r="AO218" s="824"/>
      <c r="AP218" s="824"/>
      <c r="AQ218" s="824"/>
      <c r="AR218" s="824"/>
    </row>
    <row r="219" spans="1:44" s="15" customFormat="1" x14ac:dyDescent="0.25">
      <c r="A219" s="102"/>
      <c r="M219" s="16"/>
      <c r="V219" s="824"/>
      <c r="W219" s="824"/>
      <c r="X219" s="824"/>
      <c r="Y219" s="824"/>
      <c r="Z219" s="824"/>
      <c r="AA219" s="824"/>
      <c r="AB219" s="824"/>
      <c r="AC219" s="824"/>
      <c r="AD219" s="824"/>
      <c r="AE219" s="824"/>
      <c r="AF219" s="824"/>
      <c r="AG219" s="824"/>
      <c r="AH219" s="824"/>
      <c r="AI219" s="824"/>
      <c r="AJ219" s="824"/>
      <c r="AK219" s="824"/>
      <c r="AL219" s="824"/>
      <c r="AM219" s="824"/>
      <c r="AN219" s="824"/>
      <c r="AO219" s="824"/>
      <c r="AP219" s="824"/>
      <c r="AQ219" s="824"/>
      <c r="AR219" s="824"/>
    </row>
    <row r="220" spans="1:44" s="15" customFormat="1" x14ac:dyDescent="0.25">
      <c r="A220" s="102"/>
      <c r="M220" s="16"/>
      <c r="V220" s="824"/>
      <c r="W220" s="824"/>
      <c r="X220" s="824"/>
      <c r="Y220" s="824"/>
      <c r="Z220" s="824"/>
      <c r="AA220" s="824"/>
      <c r="AB220" s="824"/>
      <c r="AC220" s="824"/>
      <c r="AD220" s="824"/>
      <c r="AE220" s="824"/>
      <c r="AF220" s="824"/>
      <c r="AG220" s="824"/>
      <c r="AH220" s="824"/>
      <c r="AI220" s="824"/>
      <c r="AJ220" s="824"/>
      <c r="AK220" s="824"/>
      <c r="AL220" s="824"/>
      <c r="AM220" s="824"/>
      <c r="AN220" s="824"/>
      <c r="AO220" s="824"/>
      <c r="AP220" s="824"/>
      <c r="AQ220" s="824"/>
      <c r="AR220" s="824"/>
    </row>
    <row r="221" spans="1:44" s="15" customFormat="1" x14ac:dyDescent="0.25">
      <c r="A221" s="102"/>
      <c r="M221" s="16"/>
      <c r="V221" s="824"/>
      <c r="W221" s="824"/>
      <c r="X221" s="824"/>
      <c r="Y221" s="824"/>
      <c r="Z221" s="824"/>
      <c r="AA221" s="824"/>
      <c r="AB221" s="824"/>
      <c r="AC221" s="824"/>
      <c r="AD221" s="824"/>
      <c r="AE221" s="824"/>
      <c r="AF221" s="824"/>
      <c r="AG221" s="824"/>
      <c r="AH221" s="824"/>
      <c r="AI221" s="824"/>
      <c r="AJ221" s="824"/>
      <c r="AK221" s="824"/>
      <c r="AL221" s="824"/>
      <c r="AM221" s="824"/>
      <c r="AN221" s="824"/>
      <c r="AO221" s="824"/>
      <c r="AP221" s="824"/>
      <c r="AQ221" s="824"/>
      <c r="AR221" s="824"/>
    </row>
    <row r="222" spans="1:44" s="15" customFormat="1" x14ac:dyDescent="0.25">
      <c r="A222" s="102"/>
      <c r="M222" s="16"/>
      <c r="V222" s="824"/>
      <c r="W222" s="824"/>
      <c r="X222" s="824"/>
      <c r="Y222" s="824"/>
      <c r="Z222" s="824"/>
      <c r="AA222" s="824"/>
      <c r="AB222" s="824"/>
      <c r="AC222" s="824"/>
      <c r="AD222" s="824"/>
      <c r="AE222" s="824"/>
      <c r="AF222" s="824"/>
      <c r="AG222" s="824"/>
      <c r="AH222" s="824"/>
      <c r="AI222" s="824"/>
      <c r="AJ222" s="824"/>
      <c r="AK222" s="824"/>
      <c r="AL222" s="824"/>
      <c r="AM222" s="824"/>
      <c r="AN222" s="824"/>
      <c r="AO222" s="824"/>
      <c r="AP222" s="824"/>
      <c r="AQ222" s="824"/>
      <c r="AR222" s="824"/>
    </row>
    <row r="223" spans="1:44" s="15" customFormat="1" x14ac:dyDescent="0.25">
      <c r="A223" s="102"/>
      <c r="M223" s="16"/>
      <c r="V223" s="824"/>
      <c r="W223" s="824"/>
      <c r="X223" s="824"/>
      <c r="Y223" s="824"/>
      <c r="Z223" s="824"/>
      <c r="AA223" s="824"/>
      <c r="AB223" s="824"/>
      <c r="AC223" s="824"/>
      <c r="AD223" s="824"/>
      <c r="AE223" s="824"/>
      <c r="AF223" s="824"/>
      <c r="AG223" s="824"/>
      <c r="AH223" s="824"/>
      <c r="AI223" s="824"/>
      <c r="AJ223" s="824"/>
      <c r="AK223" s="824"/>
      <c r="AL223" s="824"/>
      <c r="AM223" s="824"/>
      <c r="AN223" s="824"/>
      <c r="AO223" s="824"/>
      <c r="AP223" s="824"/>
      <c r="AQ223" s="824"/>
      <c r="AR223" s="824"/>
    </row>
    <row r="224" spans="1:44" s="15" customFormat="1" x14ac:dyDescent="0.25">
      <c r="A224" s="102"/>
      <c r="M224" s="16"/>
      <c r="V224" s="824"/>
      <c r="W224" s="824"/>
      <c r="X224" s="824"/>
      <c r="Y224" s="824"/>
      <c r="Z224" s="824"/>
      <c r="AA224" s="824"/>
      <c r="AB224" s="824"/>
      <c r="AC224" s="824"/>
      <c r="AD224" s="824"/>
      <c r="AE224" s="824"/>
      <c r="AF224" s="824"/>
      <c r="AG224" s="824"/>
      <c r="AH224" s="824"/>
      <c r="AI224" s="824"/>
      <c r="AJ224" s="824"/>
      <c r="AK224" s="824"/>
      <c r="AL224" s="824"/>
      <c r="AM224" s="824"/>
      <c r="AN224" s="824"/>
      <c r="AO224" s="824"/>
      <c r="AP224" s="824"/>
      <c r="AQ224" s="824"/>
      <c r="AR224" s="824"/>
    </row>
    <row r="225" spans="1:44" s="15" customFormat="1" x14ac:dyDescent="0.25">
      <c r="A225" s="102"/>
      <c r="M225" s="16"/>
      <c r="V225" s="824"/>
      <c r="W225" s="824"/>
      <c r="X225" s="824"/>
      <c r="Y225" s="824"/>
      <c r="Z225" s="824"/>
      <c r="AA225" s="824"/>
      <c r="AB225" s="824"/>
      <c r="AC225" s="824"/>
      <c r="AD225" s="824"/>
      <c r="AE225" s="824"/>
      <c r="AF225" s="824"/>
      <c r="AG225" s="824"/>
      <c r="AH225" s="824"/>
      <c r="AI225" s="824"/>
      <c r="AJ225" s="824"/>
      <c r="AK225" s="824"/>
      <c r="AL225" s="824"/>
      <c r="AM225" s="824"/>
      <c r="AN225" s="824"/>
      <c r="AO225" s="824"/>
      <c r="AP225" s="824"/>
      <c r="AQ225" s="824"/>
      <c r="AR225" s="824"/>
    </row>
    <row r="226" spans="1:44" s="15" customFormat="1" x14ac:dyDescent="0.25">
      <c r="A226" s="102"/>
      <c r="M226" s="16"/>
      <c r="V226" s="824"/>
      <c r="W226" s="824"/>
      <c r="X226" s="824"/>
      <c r="Y226" s="824"/>
      <c r="Z226" s="824"/>
      <c r="AA226" s="824"/>
      <c r="AB226" s="824"/>
      <c r="AC226" s="824"/>
      <c r="AD226" s="824"/>
      <c r="AE226" s="824"/>
      <c r="AF226" s="824"/>
      <c r="AG226" s="824"/>
      <c r="AH226" s="824"/>
      <c r="AI226" s="824"/>
      <c r="AJ226" s="824"/>
      <c r="AK226" s="824"/>
      <c r="AL226" s="824"/>
      <c r="AM226" s="824"/>
      <c r="AN226" s="824"/>
      <c r="AO226" s="824"/>
      <c r="AP226" s="824"/>
      <c r="AQ226" s="824"/>
      <c r="AR226" s="824"/>
    </row>
    <row r="227" spans="1:44" s="15" customFormat="1" x14ac:dyDescent="0.25">
      <c r="A227" s="102"/>
      <c r="M227" s="16"/>
      <c r="V227" s="824"/>
      <c r="W227" s="824"/>
      <c r="X227" s="824"/>
      <c r="Y227" s="824"/>
      <c r="Z227" s="824"/>
      <c r="AA227" s="824"/>
      <c r="AB227" s="824"/>
      <c r="AC227" s="824"/>
      <c r="AD227" s="824"/>
      <c r="AE227" s="824"/>
      <c r="AF227" s="824"/>
      <c r="AG227" s="824"/>
      <c r="AH227" s="824"/>
      <c r="AI227" s="824"/>
      <c r="AJ227" s="824"/>
      <c r="AK227" s="824"/>
      <c r="AL227" s="824"/>
      <c r="AM227" s="824"/>
      <c r="AN227" s="824"/>
      <c r="AO227" s="824"/>
      <c r="AP227" s="824"/>
      <c r="AQ227" s="824"/>
      <c r="AR227" s="824"/>
    </row>
    <row r="228" spans="1:44" s="15" customFormat="1" x14ac:dyDescent="0.25">
      <c r="A228" s="102"/>
      <c r="M228" s="16"/>
      <c r="V228" s="824"/>
      <c r="W228" s="824"/>
      <c r="X228" s="824"/>
      <c r="Y228" s="824"/>
      <c r="Z228" s="824"/>
      <c r="AA228" s="824"/>
      <c r="AB228" s="824"/>
      <c r="AC228" s="824"/>
      <c r="AD228" s="824"/>
      <c r="AE228" s="824"/>
      <c r="AF228" s="824"/>
      <c r="AG228" s="824"/>
      <c r="AH228" s="824"/>
      <c r="AI228" s="824"/>
      <c r="AJ228" s="824"/>
      <c r="AK228" s="824"/>
      <c r="AL228" s="824"/>
      <c r="AM228" s="824"/>
      <c r="AN228" s="824"/>
      <c r="AO228" s="824"/>
      <c r="AP228" s="824"/>
      <c r="AQ228" s="824"/>
      <c r="AR228" s="824"/>
    </row>
    <row r="229" spans="1:44" s="15" customFormat="1" x14ac:dyDescent="0.25">
      <c r="A229" s="102"/>
      <c r="M229" s="16"/>
      <c r="V229" s="824"/>
      <c r="W229" s="824"/>
      <c r="X229" s="824"/>
      <c r="Y229" s="824"/>
      <c r="Z229" s="824"/>
      <c r="AA229" s="824"/>
      <c r="AB229" s="824"/>
      <c r="AC229" s="824"/>
      <c r="AD229" s="824"/>
      <c r="AE229" s="824"/>
      <c r="AF229" s="824"/>
      <c r="AG229" s="824"/>
      <c r="AH229" s="824"/>
      <c r="AI229" s="824"/>
      <c r="AJ229" s="824"/>
      <c r="AK229" s="824"/>
      <c r="AL229" s="824"/>
      <c r="AM229" s="824"/>
      <c r="AN229" s="824"/>
      <c r="AO229" s="824"/>
      <c r="AP229" s="824"/>
      <c r="AQ229" s="824"/>
      <c r="AR229" s="824"/>
    </row>
    <row r="230" spans="1:44" s="15" customFormat="1" x14ac:dyDescent="0.25">
      <c r="A230" s="102"/>
      <c r="M230" s="16"/>
      <c r="V230" s="824"/>
      <c r="W230" s="824"/>
      <c r="X230" s="824"/>
      <c r="Y230" s="824"/>
      <c r="Z230" s="824"/>
      <c r="AA230" s="824"/>
      <c r="AB230" s="824"/>
      <c r="AC230" s="824"/>
      <c r="AD230" s="824"/>
      <c r="AE230" s="824"/>
      <c r="AF230" s="824"/>
      <c r="AG230" s="824"/>
      <c r="AH230" s="824"/>
      <c r="AI230" s="824"/>
      <c r="AJ230" s="824"/>
      <c r="AK230" s="824"/>
      <c r="AL230" s="824"/>
      <c r="AM230" s="824"/>
      <c r="AN230" s="824"/>
      <c r="AO230" s="824"/>
      <c r="AP230" s="824"/>
      <c r="AQ230" s="824"/>
      <c r="AR230" s="824"/>
    </row>
    <row r="231" spans="1:44" s="15" customFormat="1" x14ac:dyDescent="0.25">
      <c r="A231" s="102"/>
      <c r="M231" s="16"/>
      <c r="V231" s="824"/>
      <c r="W231" s="824"/>
      <c r="X231" s="824"/>
      <c r="Y231" s="824"/>
      <c r="Z231" s="824"/>
      <c r="AA231" s="824"/>
      <c r="AB231" s="824"/>
      <c r="AC231" s="824"/>
      <c r="AD231" s="824"/>
      <c r="AE231" s="824"/>
      <c r="AF231" s="824"/>
      <c r="AG231" s="824"/>
      <c r="AH231" s="824"/>
      <c r="AI231" s="824"/>
      <c r="AJ231" s="824"/>
      <c r="AK231" s="824"/>
      <c r="AL231" s="824"/>
      <c r="AM231" s="824"/>
      <c r="AN231" s="824"/>
      <c r="AO231" s="824"/>
      <c r="AP231" s="824"/>
      <c r="AQ231" s="824"/>
      <c r="AR231" s="824"/>
    </row>
    <row r="232" spans="1:44" s="15" customFormat="1" x14ac:dyDescent="0.25">
      <c r="A232" s="102"/>
      <c r="M232" s="16"/>
      <c r="V232" s="824"/>
      <c r="W232" s="824"/>
      <c r="X232" s="824"/>
      <c r="Y232" s="824"/>
      <c r="Z232" s="824"/>
      <c r="AA232" s="824"/>
      <c r="AB232" s="824"/>
      <c r="AC232" s="824"/>
      <c r="AD232" s="824"/>
      <c r="AE232" s="824"/>
      <c r="AF232" s="824"/>
      <c r="AG232" s="824"/>
      <c r="AH232" s="824"/>
      <c r="AI232" s="824"/>
      <c r="AJ232" s="824"/>
      <c r="AK232" s="824"/>
      <c r="AL232" s="824"/>
      <c r="AM232" s="824"/>
      <c r="AN232" s="824"/>
      <c r="AO232" s="824"/>
      <c r="AP232" s="824"/>
      <c r="AQ232" s="824"/>
      <c r="AR232" s="824"/>
    </row>
    <row r="233" spans="1:44" s="15" customFormat="1" x14ac:dyDescent="0.25">
      <c r="A233" s="102"/>
      <c r="M233" s="16"/>
      <c r="V233" s="824"/>
      <c r="W233" s="824"/>
      <c r="X233" s="824"/>
      <c r="Y233" s="824"/>
      <c r="Z233" s="824"/>
      <c r="AA233" s="824"/>
      <c r="AB233" s="824"/>
      <c r="AC233" s="824"/>
      <c r="AD233" s="824"/>
      <c r="AE233" s="824"/>
      <c r="AF233" s="824"/>
      <c r="AG233" s="824"/>
      <c r="AH233" s="824"/>
      <c r="AI233" s="824"/>
      <c r="AJ233" s="824"/>
      <c r="AK233" s="824"/>
      <c r="AL233" s="824"/>
      <c r="AM233" s="824"/>
      <c r="AN233" s="824"/>
      <c r="AO233" s="824"/>
      <c r="AP233" s="824"/>
      <c r="AQ233" s="824"/>
      <c r="AR233" s="824"/>
    </row>
    <row r="234" spans="1:44" s="15" customFormat="1" x14ac:dyDescent="0.25">
      <c r="A234" s="102"/>
      <c r="M234" s="16"/>
      <c r="V234" s="824"/>
      <c r="W234" s="824"/>
      <c r="X234" s="824"/>
      <c r="Y234" s="824"/>
      <c r="Z234" s="824"/>
      <c r="AA234" s="824"/>
      <c r="AB234" s="824"/>
      <c r="AC234" s="824"/>
      <c r="AD234" s="824"/>
      <c r="AE234" s="824"/>
      <c r="AF234" s="824"/>
      <c r="AG234" s="824"/>
      <c r="AH234" s="824"/>
      <c r="AI234" s="824"/>
      <c r="AJ234" s="824"/>
      <c r="AK234" s="824"/>
      <c r="AL234" s="824"/>
      <c r="AM234" s="824"/>
      <c r="AN234" s="824"/>
      <c r="AO234" s="824"/>
      <c r="AP234" s="824"/>
      <c r="AQ234" s="824"/>
      <c r="AR234" s="824"/>
    </row>
    <row r="235" spans="1:44" s="15" customFormat="1" x14ac:dyDescent="0.25">
      <c r="A235" s="102"/>
      <c r="M235" s="16"/>
      <c r="V235" s="824"/>
      <c r="W235" s="824"/>
      <c r="X235" s="824"/>
      <c r="Y235" s="824"/>
      <c r="Z235" s="824"/>
      <c r="AA235" s="824"/>
      <c r="AB235" s="824"/>
      <c r="AC235" s="824"/>
      <c r="AD235" s="824"/>
      <c r="AE235" s="824"/>
      <c r="AF235" s="824"/>
      <c r="AG235" s="824"/>
      <c r="AH235" s="824"/>
      <c r="AI235" s="824"/>
      <c r="AJ235" s="824"/>
      <c r="AK235" s="824"/>
      <c r="AL235" s="824"/>
      <c r="AM235" s="824"/>
      <c r="AN235" s="824"/>
      <c r="AO235" s="824"/>
      <c r="AP235" s="824"/>
      <c r="AQ235" s="824"/>
      <c r="AR235" s="824"/>
    </row>
    <row r="236" spans="1:44" s="15" customFormat="1" x14ac:dyDescent="0.25">
      <c r="A236" s="102"/>
      <c r="M236" s="16"/>
      <c r="V236" s="824"/>
      <c r="W236" s="824"/>
      <c r="X236" s="824"/>
      <c r="Y236" s="824"/>
      <c r="Z236" s="824"/>
      <c r="AA236" s="824"/>
      <c r="AB236" s="824"/>
      <c r="AC236" s="824"/>
      <c r="AD236" s="824"/>
      <c r="AE236" s="824"/>
      <c r="AF236" s="824"/>
      <c r="AG236" s="824"/>
      <c r="AH236" s="824"/>
      <c r="AI236" s="824"/>
      <c r="AJ236" s="824"/>
      <c r="AK236" s="824"/>
      <c r="AL236" s="824"/>
      <c r="AM236" s="824"/>
      <c r="AN236" s="824"/>
      <c r="AO236" s="824"/>
      <c r="AP236" s="824"/>
      <c r="AQ236" s="824"/>
      <c r="AR236" s="824"/>
    </row>
    <row r="237" spans="1:44" s="15" customFormat="1" x14ac:dyDescent="0.25">
      <c r="A237" s="102"/>
      <c r="M237" s="16"/>
      <c r="V237" s="824"/>
      <c r="W237" s="824"/>
      <c r="X237" s="824"/>
      <c r="Y237" s="824"/>
      <c r="Z237" s="824"/>
      <c r="AA237" s="824"/>
      <c r="AB237" s="824"/>
      <c r="AC237" s="824"/>
      <c r="AD237" s="824"/>
      <c r="AE237" s="824"/>
      <c r="AF237" s="824"/>
      <c r="AG237" s="824"/>
      <c r="AH237" s="824"/>
      <c r="AI237" s="824"/>
      <c r="AJ237" s="824"/>
      <c r="AK237" s="824"/>
      <c r="AL237" s="824"/>
      <c r="AM237" s="824"/>
      <c r="AN237" s="824"/>
      <c r="AO237" s="824"/>
      <c r="AP237" s="824"/>
      <c r="AQ237" s="824"/>
      <c r="AR237" s="824"/>
    </row>
    <row r="238" spans="1:44" s="15" customFormat="1" x14ac:dyDescent="0.25">
      <c r="A238" s="102"/>
      <c r="M238" s="16"/>
      <c r="V238" s="824"/>
      <c r="W238" s="824"/>
      <c r="X238" s="824"/>
      <c r="Y238" s="824"/>
      <c r="Z238" s="824"/>
      <c r="AA238" s="824"/>
      <c r="AB238" s="824"/>
      <c r="AC238" s="824"/>
      <c r="AD238" s="824"/>
      <c r="AE238" s="824"/>
      <c r="AF238" s="824"/>
      <c r="AG238" s="824"/>
      <c r="AH238" s="824"/>
      <c r="AI238" s="824"/>
      <c r="AJ238" s="824"/>
      <c r="AK238" s="824"/>
      <c r="AL238" s="824"/>
      <c r="AM238" s="824"/>
      <c r="AN238" s="824"/>
      <c r="AO238" s="824"/>
      <c r="AP238" s="824"/>
      <c r="AQ238" s="824"/>
      <c r="AR238" s="824"/>
    </row>
    <row r="239" spans="1:44" s="15" customFormat="1" x14ac:dyDescent="0.25">
      <c r="A239" s="102"/>
      <c r="M239" s="16"/>
      <c r="V239" s="824"/>
      <c r="W239" s="824"/>
      <c r="X239" s="824"/>
      <c r="Y239" s="824"/>
      <c r="Z239" s="824"/>
      <c r="AA239" s="824"/>
      <c r="AB239" s="824"/>
      <c r="AC239" s="824"/>
      <c r="AD239" s="824"/>
      <c r="AE239" s="824"/>
      <c r="AF239" s="824"/>
      <c r="AG239" s="824"/>
      <c r="AH239" s="824"/>
      <c r="AI239" s="824"/>
      <c r="AJ239" s="824"/>
      <c r="AK239" s="824"/>
      <c r="AL239" s="824"/>
      <c r="AM239" s="824"/>
      <c r="AN239" s="824"/>
      <c r="AO239" s="824"/>
      <c r="AP239" s="824"/>
      <c r="AQ239" s="824"/>
      <c r="AR239" s="824"/>
    </row>
    <row r="240" spans="1:44" s="15" customFormat="1" x14ac:dyDescent="0.25">
      <c r="A240" s="102"/>
      <c r="M240" s="16"/>
      <c r="V240" s="824"/>
      <c r="W240" s="824"/>
      <c r="X240" s="824"/>
      <c r="Y240" s="824"/>
      <c r="Z240" s="824"/>
      <c r="AA240" s="824"/>
      <c r="AB240" s="824"/>
      <c r="AC240" s="824"/>
      <c r="AD240" s="824"/>
      <c r="AE240" s="824"/>
      <c r="AF240" s="824"/>
      <c r="AG240" s="824"/>
      <c r="AH240" s="824"/>
      <c r="AI240" s="824"/>
      <c r="AJ240" s="824"/>
      <c r="AK240" s="824"/>
      <c r="AL240" s="824"/>
      <c r="AM240" s="824"/>
      <c r="AN240" s="824"/>
      <c r="AO240" s="824"/>
      <c r="AP240" s="824"/>
      <c r="AQ240" s="824"/>
      <c r="AR240" s="824"/>
    </row>
    <row r="241" spans="1:44" s="15" customFormat="1" x14ac:dyDescent="0.25">
      <c r="A241" s="102"/>
      <c r="M241" s="16"/>
      <c r="V241" s="824"/>
      <c r="W241" s="824"/>
      <c r="X241" s="824"/>
      <c r="Y241" s="824"/>
      <c r="Z241" s="824"/>
      <c r="AA241" s="824"/>
      <c r="AB241" s="824"/>
      <c r="AC241" s="824"/>
      <c r="AD241" s="824"/>
      <c r="AE241" s="824"/>
      <c r="AF241" s="824"/>
      <c r="AG241" s="824"/>
      <c r="AH241" s="824"/>
      <c r="AI241" s="824"/>
      <c r="AJ241" s="824"/>
      <c r="AK241" s="824"/>
      <c r="AL241" s="824"/>
      <c r="AM241" s="824"/>
      <c r="AN241" s="824"/>
      <c r="AO241" s="824"/>
      <c r="AP241" s="824"/>
      <c r="AQ241" s="824"/>
      <c r="AR241" s="824"/>
    </row>
    <row r="242" spans="1:44" s="15" customFormat="1" x14ac:dyDescent="0.25">
      <c r="A242" s="102"/>
      <c r="M242" s="16"/>
      <c r="V242" s="824"/>
      <c r="W242" s="824"/>
      <c r="X242" s="824"/>
      <c r="Y242" s="824"/>
      <c r="Z242" s="824"/>
      <c r="AA242" s="824"/>
      <c r="AB242" s="824"/>
      <c r="AC242" s="824"/>
      <c r="AD242" s="824"/>
      <c r="AE242" s="824"/>
      <c r="AF242" s="824"/>
      <c r="AG242" s="824"/>
      <c r="AH242" s="824"/>
      <c r="AI242" s="824"/>
      <c r="AJ242" s="824"/>
      <c r="AK242" s="824"/>
      <c r="AL242" s="824"/>
      <c r="AM242" s="824"/>
      <c r="AN242" s="824"/>
      <c r="AO242" s="824"/>
      <c r="AP242" s="824"/>
      <c r="AQ242" s="824"/>
      <c r="AR242" s="824"/>
    </row>
    <row r="243" spans="1:44" s="15" customFormat="1" x14ac:dyDescent="0.25">
      <c r="A243" s="102"/>
      <c r="M243" s="16"/>
      <c r="V243" s="824"/>
      <c r="W243" s="824"/>
      <c r="X243" s="824"/>
      <c r="Y243" s="824"/>
      <c r="Z243" s="824"/>
      <c r="AA243" s="824"/>
      <c r="AB243" s="824"/>
      <c r="AC243" s="824"/>
      <c r="AD243" s="824"/>
      <c r="AE243" s="824"/>
      <c r="AF243" s="824"/>
      <c r="AG243" s="824"/>
      <c r="AH243" s="824"/>
      <c r="AI243" s="824"/>
      <c r="AJ243" s="824"/>
      <c r="AK243" s="824"/>
      <c r="AL243" s="824"/>
      <c r="AM243" s="824"/>
      <c r="AN243" s="824"/>
      <c r="AO243" s="824"/>
      <c r="AP243" s="824"/>
      <c r="AQ243" s="824"/>
      <c r="AR243" s="824"/>
    </row>
    <row r="244" spans="1:44" s="15" customFormat="1" x14ac:dyDescent="0.25">
      <c r="A244" s="102"/>
      <c r="M244" s="16"/>
      <c r="V244" s="824"/>
      <c r="W244" s="824"/>
      <c r="X244" s="824"/>
      <c r="Y244" s="824"/>
      <c r="Z244" s="824"/>
      <c r="AA244" s="824"/>
      <c r="AB244" s="824"/>
      <c r="AC244" s="824"/>
      <c r="AD244" s="824"/>
      <c r="AE244" s="824"/>
      <c r="AF244" s="824"/>
      <c r="AG244" s="824"/>
      <c r="AH244" s="824"/>
      <c r="AI244" s="824"/>
      <c r="AJ244" s="824"/>
      <c r="AK244" s="824"/>
      <c r="AL244" s="824"/>
      <c r="AM244" s="824"/>
      <c r="AN244" s="824"/>
      <c r="AO244" s="824"/>
      <c r="AP244" s="824"/>
      <c r="AQ244" s="824"/>
      <c r="AR244" s="824"/>
    </row>
    <row r="245" spans="1:44" s="15" customFormat="1" x14ac:dyDescent="0.25">
      <c r="A245" s="102"/>
      <c r="M245" s="16"/>
      <c r="V245" s="824"/>
      <c r="W245" s="824"/>
      <c r="X245" s="824"/>
      <c r="Y245" s="824"/>
      <c r="Z245" s="824"/>
      <c r="AA245" s="824"/>
      <c r="AB245" s="824"/>
      <c r="AC245" s="824"/>
      <c r="AD245" s="824"/>
      <c r="AE245" s="824"/>
      <c r="AF245" s="824"/>
      <c r="AG245" s="824"/>
      <c r="AH245" s="824"/>
      <c r="AI245" s="824"/>
      <c r="AJ245" s="824"/>
      <c r="AK245" s="824"/>
      <c r="AL245" s="824"/>
      <c r="AM245" s="824"/>
      <c r="AN245" s="824"/>
      <c r="AO245" s="824"/>
      <c r="AP245" s="824"/>
      <c r="AQ245" s="824"/>
      <c r="AR245" s="824"/>
    </row>
    <row r="246" spans="1:44" s="15" customFormat="1" x14ac:dyDescent="0.25">
      <c r="A246" s="102"/>
      <c r="M246" s="16"/>
      <c r="V246" s="824"/>
      <c r="W246" s="824"/>
      <c r="X246" s="824"/>
      <c r="Y246" s="824"/>
      <c r="Z246" s="824"/>
      <c r="AA246" s="824"/>
      <c r="AB246" s="824"/>
      <c r="AC246" s="824"/>
      <c r="AD246" s="824"/>
      <c r="AE246" s="824"/>
      <c r="AF246" s="824"/>
      <c r="AG246" s="824"/>
      <c r="AH246" s="824"/>
      <c r="AI246" s="824"/>
      <c r="AJ246" s="824"/>
      <c r="AK246" s="824"/>
      <c r="AL246" s="824"/>
      <c r="AM246" s="824"/>
      <c r="AN246" s="824"/>
      <c r="AO246" s="824"/>
      <c r="AP246" s="824"/>
      <c r="AQ246" s="824"/>
      <c r="AR246" s="824"/>
    </row>
    <row r="247" spans="1:44" s="15" customFormat="1" x14ac:dyDescent="0.25">
      <c r="A247" s="102"/>
      <c r="M247" s="16"/>
      <c r="V247" s="824"/>
      <c r="W247" s="824"/>
      <c r="X247" s="824"/>
      <c r="Y247" s="824"/>
      <c r="Z247" s="824"/>
      <c r="AA247" s="824"/>
      <c r="AB247" s="824"/>
      <c r="AC247" s="824"/>
      <c r="AD247" s="824"/>
      <c r="AE247" s="824"/>
      <c r="AF247" s="824"/>
      <c r="AG247" s="824"/>
      <c r="AH247" s="824"/>
      <c r="AI247" s="824"/>
      <c r="AJ247" s="824"/>
      <c r="AK247" s="824"/>
      <c r="AL247" s="824"/>
      <c r="AM247" s="824"/>
      <c r="AN247" s="824"/>
      <c r="AO247" s="824"/>
      <c r="AP247" s="824"/>
      <c r="AQ247" s="824"/>
      <c r="AR247" s="824"/>
    </row>
    <row r="248" spans="1:44" s="15" customFormat="1" x14ac:dyDescent="0.25">
      <c r="A248" s="102"/>
      <c r="M248" s="16"/>
      <c r="V248" s="824"/>
      <c r="W248" s="824"/>
      <c r="X248" s="824"/>
      <c r="Y248" s="824"/>
      <c r="Z248" s="824"/>
      <c r="AA248" s="824"/>
      <c r="AB248" s="824"/>
      <c r="AC248" s="824"/>
      <c r="AD248" s="824"/>
      <c r="AE248" s="824"/>
      <c r="AF248" s="824"/>
      <c r="AG248" s="824"/>
      <c r="AH248" s="824"/>
      <c r="AI248" s="824"/>
      <c r="AJ248" s="824"/>
      <c r="AK248" s="824"/>
      <c r="AL248" s="824"/>
      <c r="AM248" s="824"/>
      <c r="AN248" s="824"/>
      <c r="AO248" s="824"/>
      <c r="AP248" s="824"/>
      <c r="AQ248" s="824"/>
      <c r="AR248" s="824"/>
    </row>
    <row r="249" spans="1:44" s="15" customFormat="1" x14ac:dyDescent="0.25">
      <c r="A249" s="102"/>
      <c r="M249" s="16"/>
      <c r="V249" s="824"/>
      <c r="W249" s="824"/>
      <c r="X249" s="824"/>
      <c r="Y249" s="824"/>
      <c r="Z249" s="824"/>
      <c r="AA249" s="824"/>
      <c r="AB249" s="824"/>
      <c r="AC249" s="824"/>
      <c r="AD249" s="824"/>
      <c r="AE249" s="824"/>
      <c r="AF249" s="824"/>
      <c r="AG249" s="824"/>
      <c r="AH249" s="824"/>
      <c r="AI249" s="824"/>
      <c r="AJ249" s="824"/>
      <c r="AK249" s="824"/>
      <c r="AL249" s="824"/>
      <c r="AM249" s="824"/>
      <c r="AN249" s="824"/>
      <c r="AO249" s="824"/>
      <c r="AP249" s="824"/>
      <c r="AQ249" s="824"/>
      <c r="AR249" s="824"/>
    </row>
    <row r="250" spans="1:44" s="15" customFormat="1" x14ac:dyDescent="0.25">
      <c r="A250" s="102"/>
      <c r="M250" s="16"/>
      <c r="V250" s="824"/>
      <c r="W250" s="824"/>
      <c r="X250" s="824"/>
      <c r="Y250" s="824"/>
      <c r="Z250" s="824"/>
      <c r="AA250" s="824"/>
      <c r="AB250" s="824"/>
      <c r="AC250" s="824"/>
      <c r="AD250" s="824"/>
      <c r="AE250" s="824"/>
      <c r="AF250" s="824"/>
      <c r="AG250" s="824"/>
      <c r="AH250" s="824"/>
      <c r="AI250" s="824"/>
      <c r="AJ250" s="824"/>
      <c r="AK250" s="824"/>
      <c r="AL250" s="824"/>
      <c r="AM250" s="824"/>
      <c r="AN250" s="824"/>
      <c r="AO250" s="824"/>
      <c r="AP250" s="824"/>
      <c r="AQ250" s="824"/>
      <c r="AR250" s="824"/>
    </row>
    <row r="251" spans="1:44" s="15" customFormat="1" x14ac:dyDescent="0.25">
      <c r="A251" s="102"/>
      <c r="M251" s="16"/>
      <c r="V251" s="824"/>
      <c r="W251" s="824"/>
      <c r="X251" s="824"/>
      <c r="Y251" s="824"/>
      <c r="Z251" s="824"/>
      <c r="AA251" s="824"/>
      <c r="AB251" s="824"/>
      <c r="AC251" s="824"/>
      <c r="AD251" s="824"/>
      <c r="AE251" s="824"/>
      <c r="AF251" s="824"/>
      <c r="AG251" s="824"/>
      <c r="AH251" s="824"/>
      <c r="AI251" s="824"/>
      <c r="AJ251" s="824"/>
      <c r="AK251" s="824"/>
      <c r="AL251" s="824"/>
      <c r="AM251" s="824"/>
      <c r="AN251" s="824"/>
      <c r="AO251" s="824"/>
      <c r="AP251" s="824"/>
      <c r="AQ251" s="824"/>
      <c r="AR251" s="824"/>
    </row>
    <row r="252" spans="1:44" s="15" customFormat="1" x14ac:dyDescent="0.25">
      <c r="A252" s="102"/>
      <c r="M252" s="16"/>
      <c r="V252" s="824"/>
      <c r="W252" s="824"/>
      <c r="X252" s="824"/>
      <c r="Y252" s="824"/>
      <c r="Z252" s="824"/>
      <c r="AA252" s="824"/>
      <c r="AB252" s="824"/>
      <c r="AC252" s="824"/>
      <c r="AD252" s="824"/>
      <c r="AE252" s="824"/>
      <c r="AF252" s="824"/>
      <c r="AG252" s="824"/>
      <c r="AH252" s="824"/>
      <c r="AI252" s="824"/>
      <c r="AJ252" s="824"/>
      <c r="AK252" s="824"/>
      <c r="AL252" s="824"/>
      <c r="AM252" s="824"/>
      <c r="AN252" s="824"/>
      <c r="AO252" s="824"/>
      <c r="AP252" s="824"/>
      <c r="AQ252" s="824"/>
      <c r="AR252" s="824"/>
    </row>
    <row r="253" spans="1:44" s="15" customFormat="1" x14ac:dyDescent="0.25">
      <c r="A253" s="102"/>
      <c r="M253" s="16"/>
      <c r="V253" s="824"/>
      <c r="W253" s="824"/>
      <c r="X253" s="824"/>
      <c r="Y253" s="824"/>
      <c r="Z253" s="824"/>
      <c r="AA253" s="824"/>
      <c r="AB253" s="824"/>
      <c r="AC253" s="824"/>
      <c r="AD253" s="824"/>
      <c r="AE253" s="824"/>
      <c r="AF253" s="824"/>
      <c r="AG253" s="824"/>
      <c r="AH253" s="824"/>
      <c r="AI253" s="824"/>
      <c r="AJ253" s="824"/>
      <c r="AK253" s="824"/>
      <c r="AL253" s="824"/>
      <c r="AM253" s="824"/>
      <c r="AN253" s="824"/>
      <c r="AO253" s="824"/>
      <c r="AP253" s="824"/>
      <c r="AQ253" s="824"/>
      <c r="AR253" s="824"/>
    </row>
    <row r="254" spans="1:44" s="15" customFormat="1" x14ac:dyDescent="0.25">
      <c r="A254" s="102"/>
      <c r="M254" s="16"/>
      <c r="V254" s="824"/>
      <c r="W254" s="824"/>
      <c r="X254" s="824"/>
      <c r="Y254" s="824"/>
      <c r="Z254" s="824"/>
      <c r="AA254" s="824"/>
      <c r="AB254" s="824"/>
      <c r="AC254" s="824"/>
      <c r="AD254" s="824"/>
      <c r="AE254" s="824"/>
      <c r="AF254" s="824"/>
      <c r="AG254" s="824"/>
      <c r="AH254" s="824"/>
      <c r="AI254" s="824"/>
      <c r="AJ254" s="824"/>
      <c r="AK254" s="824"/>
      <c r="AL254" s="824"/>
      <c r="AM254" s="824"/>
      <c r="AN254" s="824"/>
      <c r="AO254" s="824"/>
      <c r="AP254" s="824"/>
      <c r="AQ254" s="824"/>
      <c r="AR254" s="824"/>
    </row>
    <row r="255" spans="1:44" s="15" customFormat="1" x14ac:dyDescent="0.25">
      <c r="A255" s="102"/>
      <c r="M255" s="16"/>
      <c r="V255" s="824"/>
      <c r="W255" s="824"/>
      <c r="X255" s="824"/>
      <c r="Y255" s="824"/>
      <c r="Z255" s="824"/>
      <c r="AA255" s="824"/>
      <c r="AB255" s="824"/>
      <c r="AC255" s="824"/>
      <c r="AD255" s="824"/>
      <c r="AE255" s="824"/>
      <c r="AF255" s="824"/>
      <c r="AG255" s="824"/>
      <c r="AH255" s="824"/>
      <c r="AI255" s="824"/>
      <c r="AJ255" s="824"/>
      <c r="AK255" s="824"/>
      <c r="AL255" s="824"/>
      <c r="AM255" s="824"/>
      <c r="AN255" s="824"/>
      <c r="AO255" s="824"/>
      <c r="AP255" s="824"/>
      <c r="AQ255" s="824"/>
      <c r="AR255" s="824"/>
    </row>
    <row r="256" spans="1:44" s="15" customFormat="1" x14ac:dyDescent="0.25">
      <c r="A256" s="102"/>
      <c r="M256" s="16"/>
      <c r="V256" s="824"/>
      <c r="W256" s="824"/>
      <c r="X256" s="824"/>
      <c r="Y256" s="824"/>
      <c r="Z256" s="824"/>
      <c r="AA256" s="824"/>
      <c r="AB256" s="824"/>
      <c r="AC256" s="824"/>
      <c r="AD256" s="824"/>
      <c r="AE256" s="824"/>
      <c r="AF256" s="824"/>
      <c r="AG256" s="824"/>
      <c r="AH256" s="824"/>
      <c r="AI256" s="824"/>
      <c r="AJ256" s="824"/>
      <c r="AK256" s="824"/>
      <c r="AL256" s="824"/>
      <c r="AM256" s="824"/>
      <c r="AN256" s="824"/>
      <c r="AO256" s="824"/>
      <c r="AP256" s="824"/>
      <c r="AQ256" s="824"/>
      <c r="AR256" s="824"/>
    </row>
    <row r="257" spans="1:44" s="15" customFormat="1" x14ac:dyDescent="0.25">
      <c r="A257" s="102"/>
      <c r="M257" s="16"/>
      <c r="V257" s="824"/>
      <c r="W257" s="824"/>
      <c r="X257" s="824"/>
      <c r="Y257" s="824"/>
      <c r="Z257" s="824"/>
      <c r="AA257" s="824"/>
      <c r="AB257" s="824"/>
      <c r="AC257" s="824"/>
      <c r="AD257" s="824"/>
      <c r="AE257" s="824"/>
      <c r="AF257" s="824"/>
      <c r="AG257" s="824"/>
      <c r="AH257" s="824"/>
      <c r="AI257" s="824"/>
      <c r="AJ257" s="824"/>
      <c r="AK257" s="824"/>
      <c r="AL257" s="824"/>
      <c r="AM257" s="824"/>
      <c r="AN257" s="824"/>
      <c r="AO257" s="824"/>
      <c r="AP257" s="824"/>
      <c r="AQ257" s="824"/>
      <c r="AR257" s="824"/>
    </row>
    <row r="258" spans="1:44" s="15" customFormat="1" x14ac:dyDescent="0.25">
      <c r="A258" s="102"/>
      <c r="M258" s="16"/>
      <c r="V258" s="824"/>
      <c r="W258" s="824"/>
      <c r="X258" s="824"/>
      <c r="Y258" s="824"/>
      <c r="Z258" s="824"/>
      <c r="AA258" s="824"/>
      <c r="AB258" s="824"/>
      <c r="AC258" s="824"/>
      <c r="AD258" s="824"/>
      <c r="AE258" s="824"/>
      <c r="AF258" s="824"/>
      <c r="AG258" s="824"/>
      <c r="AH258" s="824"/>
      <c r="AI258" s="824"/>
      <c r="AJ258" s="824"/>
      <c r="AK258" s="824"/>
      <c r="AL258" s="824"/>
      <c r="AM258" s="824"/>
      <c r="AN258" s="824"/>
      <c r="AO258" s="824"/>
      <c r="AP258" s="824"/>
      <c r="AQ258" s="824"/>
      <c r="AR258" s="824"/>
    </row>
    <row r="259" spans="1:44" s="15" customFormat="1" x14ac:dyDescent="0.25">
      <c r="A259" s="102"/>
      <c r="M259" s="16"/>
      <c r="V259" s="824"/>
      <c r="W259" s="824"/>
      <c r="X259" s="824"/>
      <c r="Y259" s="824"/>
      <c r="Z259" s="824"/>
      <c r="AA259" s="824"/>
      <c r="AB259" s="824"/>
      <c r="AC259" s="824"/>
      <c r="AD259" s="824"/>
      <c r="AE259" s="824"/>
      <c r="AF259" s="824"/>
      <c r="AG259" s="824"/>
      <c r="AH259" s="824"/>
      <c r="AI259" s="824"/>
      <c r="AJ259" s="824"/>
      <c r="AK259" s="824"/>
      <c r="AL259" s="824"/>
      <c r="AM259" s="824"/>
      <c r="AN259" s="824"/>
      <c r="AO259" s="824"/>
      <c r="AP259" s="824"/>
      <c r="AQ259" s="824"/>
      <c r="AR259" s="824"/>
    </row>
    <row r="260" spans="1:44" s="15" customFormat="1" x14ac:dyDescent="0.25">
      <c r="A260" s="102"/>
      <c r="M260" s="16"/>
      <c r="V260" s="824"/>
      <c r="W260" s="824"/>
      <c r="X260" s="824"/>
      <c r="Y260" s="824"/>
      <c r="Z260" s="824"/>
      <c r="AA260" s="824"/>
      <c r="AB260" s="824"/>
      <c r="AC260" s="824"/>
      <c r="AD260" s="824"/>
      <c r="AE260" s="824"/>
      <c r="AF260" s="824"/>
      <c r="AG260" s="824"/>
      <c r="AH260" s="824"/>
      <c r="AI260" s="824"/>
      <c r="AJ260" s="824"/>
      <c r="AK260" s="824"/>
      <c r="AL260" s="824"/>
      <c r="AM260" s="824"/>
      <c r="AN260" s="824"/>
      <c r="AO260" s="824"/>
      <c r="AP260" s="824"/>
      <c r="AQ260" s="824"/>
      <c r="AR260" s="824"/>
    </row>
    <row r="261" spans="1:44" s="15" customFormat="1" x14ac:dyDescent="0.25">
      <c r="A261" s="102"/>
      <c r="M261" s="16"/>
      <c r="V261" s="824"/>
      <c r="W261" s="824"/>
      <c r="X261" s="824"/>
      <c r="Y261" s="824"/>
      <c r="Z261" s="824"/>
      <c r="AA261" s="824"/>
      <c r="AB261" s="824"/>
      <c r="AC261" s="824"/>
      <c r="AD261" s="824"/>
      <c r="AE261" s="824"/>
      <c r="AF261" s="824"/>
      <c r="AG261" s="824"/>
      <c r="AH261" s="824"/>
      <c r="AI261" s="824"/>
      <c r="AJ261" s="824"/>
      <c r="AK261" s="824"/>
      <c r="AL261" s="824"/>
      <c r="AM261" s="824"/>
      <c r="AN261" s="824"/>
      <c r="AO261" s="824"/>
      <c r="AP261" s="824"/>
      <c r="AQ261" s="824"/>
      <c r="AR261" s="824"/>
    </row>
    <row r="262" spans="1:44" s="15" customFormat="1" x14ac:dyDescent="0.25">
      <c r="A262" s="102"/>
      <c r="M262" s="16"/>
      <c r="V262" s="824"/>
      <c r="W262" s="824"/>
      <c r="X262" s="824"/>
      <c r="Y262" s="824"/>
      <c r="Z262" s="824"/>
      <c r="AA262" s="824"/>
      <c r="AB262" s="824"/>
      <c r="AC262" s="824"/>
      <c r="AD262" s="824"/>
      <c r="AE262" s="824"/>
      <c r="AF262" s="824"/>
      <c r="AG262" s="824"/>
      <c r="AH262" s="824"/>
      <c r="AI262" s="824"/>
      <c r="AJ262" s="824"/>
      <c r="AK262" s="824"/>
      <c r="AL262" s="824"/>
      <c r="AM262" s="824"/>
      <c r="AN262" s="824"/>
      <c r="AO262" s="824"/>
      <c r="AP262" s="824"/>
      <c r="AQ262" s="824"/>
      <c r="AR262" s="824"/>
    </row>
    <row r="263" spans="1:44" s="15" customFormat="1" x14ac:dyDescent="0.25">
      <c r="A263" s="102"/>
      <c r="M263" s="16"/>
      <c r="V263" s="824"/>
      <c r="W263" s="824"/>
      <c r="X263" s="824"/>
      <c r="Y263" s="824"/>
      <c r="Z263" s="824"/>
      <c r="AA263" s="824"/>
      <c r="AB263" s="824"/>
      <c r="AC263" s="824"/>
      <c r="AD263" s="824"/>
      <c r="AE263" s="824"/>
      <c r="AF263" s="824"/>
      <c r="AG263" s="824"/>
      <c r="AH263" s="824"/>
      <c r="AI263" s="824"/>
      <c r="AJ263" s="824"/>
      <c r="AK263" s="824"/>
      <c r="AL263" s="824"/>
      <c r="AM263" s="824"/>
      <c r="AN263" s="824"/>
      <c r="AO263" s="824"/>
      <c r="AP263" s="824"/>
      <c r="AQ263" s="824"/>
      <c r="AR263" s="824"/>
    </row>
    <row r="264" spans="1:44" s="15" customFormat="1" x14ac:dyDescent="0.25">
      <c r="A264" s="102"/>
      <c r="M264" s="16"/>
      <c r="V264" s="824"/>
      <c r="W264" s="824"/>
      <c r="X264" s="824"/>
      <c r="Y264" s="824"/>
      <c r="Z264" s="824"/>
      <c r="AA264" s="824"/>
      <c r="AB264" s="824"/>
      <c r="AC264" s="824"/>
      <c r="AD264" s="824"/>
      <c r="AE264" s="824"/>
      <c r="AF264" s="824"/>
      <c r="AG264" s="824"/>
      <c r="AH264" s="824"/>
      <c r="AI264" s="824"/>
      <c r="AJ264" s="824"/>
      <c r="AK264" s="824"/>
      <c r="AL264" s="824"/>
      <c r="AM264" s="824"/>
      <c r="AN264" s="824"/>
      <c r="AO264" s="824"/>
      <c r="AP264" s="824"/>
      <c r="AQ264" s="824"/>
      <c r="AR264" s="824"/>
    </row>
    <row r="265" spans="1:44" s="15" customFormat="1" x14ac:dyDescent="0.25">
      <c r="A265" s="102"/>
      <c r="M265" s="16"/>
      <c r="V265" s="824"/>
      <c r="W265" s="824"/>
      <c r="X265" s="824"/>
      <c r="Y265" s="824"/>
      <c r="Z265" s="824"/>
      <c r="AA265" s="824"/>
      <c r="AB265" s="824"/>
      <c r="AC265" s="824"/>
      <c r="AD265" s="824"/>
      <c r="AE265" s="824"/>
      <c r="AF265" s="824"/>
      <c r="AG265" s="824"/>
      <c r="AH265" s="824"/>
      <c r="AI265" s="824"/>
      <c r="AJ265" s="824"/>
      <c r="AK265" s="824"/>
      <c r="AL265" s="824"/>
      <c r="AM265" s="824"/>
      <c r="AN265" s="824"/>
      <c r="AO265" s="824"/>
      <c r="AP265" s="824"/>
      <c r="AQ265" s="824"/>
      <c r="AR265" s="824"/>
    </row>
    <row r="266" spans="1:44" s="15" customFormat="1" x14ac:dyDescent="0.25">
      <c r="A266" s="102"/>
      <c r="M266" s="16"/>
      <c r="V266" s="824"/>
      <c r="W266" s="824"/>
      <c r="X266" s="824"/>
      <c r="Y266" s="824"/>
      <c r="Z266" s="824"/>
      <c r="AA266" s="824"/>
      <c r="AB266" s="824"/>
      <c r="AC266" s="824"/>
      <c r="AD266" s="824"/>
      <c r="AE266" s="824"/>
      <c r="AF266" s="824"/>
      <c r="AG266" s="824"/>
      <c r="AH266" s="824"/>
      <c r="AI266" s="824"/>
      <c r="AJ266" s="824"/>
      <c r="AK266" s="824"/>
      <c r="AL266" s="824"/>
      <c r="AM266" s="824"/>
      <c r="AN266" s="824"/>
      <c r="AO266" s="824"/>
      <c r="AP266" s="824"/>
      <c r="AQ266" s="824"/>
      <c r="AR266" s="824"/>
    </row>
    <row r="267" spans="1:44" s="15" customFormat="1" x14ac:dyDescent="0.25">
      <c r="A267" s="102"/>
      <c r="M267" s="16"/>
      <c r="V267" s="824"/>
      <c r="W267" s="824"/>
      <c r="X267" s="824"/>
      <c r="Y267" s="824"/>
      <c r="Z267" s="824"/>
      <c r="AA267" s="824"/>
      <c r="AB267" s="824"/>
      <c r="AC267" s="824"/>
      <c r="AD267" s="824"/>
      <c r="AE267" s="824"/>
      <c r="AF267" s="824"/>
      <c r="AG267" s="824"/>
      <c r="AH267" s="824"/>
      <c r="AI267" s="824"/>
      <c r="AJ267" s="824"/>
      <c r="AK267" s="824"/>
      <c r="AL267" s="824"/>
      <c r="AM267" s="824"/>
      <c r="AN267" s="824"/>
      <c r="AO267" s="824"/>
      <c r="AP267" s="824"/>
      <c r="AQ267" s="824"/>
      <c r="AR267" s="824"/>
    </row>
    <row r="268" spans="1:44" s="15" customFormat="1" x14ac:dyDescent="0.25">
      <c r="A268" s="102"/>
      <c r="M268" s="16"/>
      <c r="V268" s="824"/>
      <c r="W268" s="824"/>
      <c r="X268" s="824"/>
      <c r="Y268" s="824"/>
      <c r="Z268" s="824"/>
      <c r="AA268" s="824"/>
      <c r="AB268" s="824"/>
      <c r="AC268" s="824"/>
      <c r="AD268" s="824"/>
      <c r="AE268" s="824"/>
      <c r="AF268" s="824"/>
      <c r="AG268" s="824"/>
      <c r="AH268" s="824"/>
      <c r="AI268" s="824"/>
      <c r="AJ268" s="824"/>
      <c r="AK268" s="824"/>
      <c r="AL268" s="824"/>
      <c r="AM268" s="824"/>
      <c r="AN268" s="824"/>
      <c r="AO268" s="824"/>
      <c r="AP268" s="824"/>
      <c r="AQ268" s="824"/>
      <c r="AR268" s="824"/>
    </row>
    <row r="269" spans="1:44" s="15" customFormat="1" x14ac:dyDescent="0.25">
      <c r="A269" s="102"/>
      <c r="M269" s="16"/>
      <c r="V269" s="824"/>
      <c r="W269" s="824"/>
      <c r="X269" s="824"/>
      <c r="Y269" s="824"/>
      <c r="Z269" s="824"/>
      <c r="AA269" s="824"/>
      <c r="AB269" s="824"/>
      <c r="AC269" s="824"/>
      <c r="AD269" s="824"/>
      <c r="AE269" s="824"/>
      <c r="AF269" s="824"/>
      <c r="AG269" s="824"/>
      <c r="AH269" s="824"/>
      <c r="AI269" s="824"/>
      <c r="AJ269" s="824"/>
      <c r="AK269" s="824"/>
      <c r="AL269" s="824"/>
      <c r="AM269" s="824"/>
      <c r="AN269" s="824"/>
      <c r="AO269" s="824"/>
      <c r="AP269" s="824"/>
      <c r="AQ269" s="824"/>
      <c r="AR269" s="824"/>
    </row>
    <row r="270" spans="1:44" s="15" customFormat="1" x14ac:dyDescent="0.25">
      <c r="A270" s="102"/>
      <c r="M270" s="16"/>
      <c r="V270" s="824"/>
      <c r="W270" s="824"/>
      <c r="X270" s="824"/>
      <c r="Y270" s="824"/>
      <c r="Z270" s="824"/>
      <c r="AA270" s="824"/>
      <c r="AB270" s="824"/>
      <c r="AC270" s="824"/>
      <c r="AD270" s="824"/>
      <c r="AE270" s="824"/>
      <c r="AF270" s="824"/>
      <c r="AG270" s="824"/>
      <c r="AH270" s="824"/>
      <c r="AI270" s="824"/>
      <c r="AJ270" s="824"/>
      <c r="AK270" s="824"/>
      <c r="AL270" s="824"/>
      <c r="AM270" s="824"/>
      <c r="AN270" s="824"/>
      <c r="AO270" s="824"/>
      <c r="AP270" s="824"/>
      <c r="AQ270" s="824"/>
      <c r="AR270" s="824"/>
    </row>
    <row r="271" spans="1:44" s="15" customFormat="1" x14ac:dyDescent="0.25">
      <c r="A271" s="102"/>
      <c r="M271" s="16"/>
      <c r="V271" s="824"/>
      <c r="W271" s="824"/>
      <c r="X271" s="824"/>
      <c r="Y271" s="824"/>
      <c r="Z271" s="824"/>
      <c r="AA271" s="824"/>
      <c r="AB271" s="824"/>
      <c r="AC271" s="824"/>
      <c r="AD271" s="824"/>
      <c r="AE271" s="824"/>
      <c r="AF271" s="824"/>
      <c r="AG271" s="824"/>
      <c r="AH271" s="824"/>
      <c r="AI271" s="824"/>
      <c r="AJ271" s="824"/>
      <c r="AK271" s="824"/>
      <c r="AL271" s="824"/>
      <c r="AM271" s="824"/>
      <c r="AN271" s="824"/>
      <c r="AO271" s="824"/>
      <c r="AP271" s="824"/>
      <c r="AQ271" s="824"/>
      <c r="AR271" s="824"/>
    </row>
    <row r="272" spans="1:44" s="15" customFormat="1" x14ac:dyDescent="0.25">
      <c r="A272" s="102"/>
      <c r="M272" s="16"/>
      <c r="V272" s="824"/>
      <c r="W272" s="824"/>
      <c r="X272" s="824"/>
      <c r="Y272" s="824"/>
      <c r="Z272" s="824"/>
      <c r="AA272" s="824"/>
      <c r="AB272" s="824"/>
      <c r="AC272" s="824"/>
      <c r="AD272" s="824"/>
      <c r="AE272" s="824"/>
      <c r="AF272" s="824"/>
      <c r="AG272" s="824"/>
      <c r="AH272" s="824"/>
      <c r="AI272" s="824"/>
      <c r="AJ272" s="824"/>
      <c r="AK272" s="824"/>
      <c r="AL272" s="824"/>
      <c r="AM272" s="824"/>
      <c r="AN272" s="824"/>
      <c r="AO272" s="824"/>
      <c r="AP272" s="824"/>
      <c r="AQ272" s="824"/>
      <c r="AR272" s="824"/>
    </row>
    <row r="273" spans="1:44" s="15" customFormat="1" x14ac:dyDescent="0.25">
      <c r="A273" s="102"/>
      <c r="M273" s="16"/>
      <c r="V273" s="824"/>
      <c r="W273" s="824"/>
      <c r="X273" s="824"/>
      <c r="Y273" s="824"/>
      <c r="Z273" s="824"/>
      <c r="AA273" s="824"/>
      <c r="AB273" s="824"/>
      <c r="AC273" s="824"/>
      <c r="AD273" s="824"/>
      <c r="AE273" s="824"/>
      <c r="AF273" s="824"/>
      <c r="AG273" s="824"/>
      <c r="AH273" s="824"/>
      <c r="AI273" s="824"/>
      <c r="AJ273" s="824"/>
      <c r="AK273" s="824"/>
      <c r="AL273" s="824"/>
      <c r="AM273" s="824"/>
      <c r="AN273" s="824"/>
      <c r="AO273" s="824"/>
      <c r="AP273" s="824"/>
      <c r="AQ273" s="824"/>
      <c r="AR273" s="824"/>
    </row>
    <row r="274" spans="1:44" s="15" customFormat="1" x14ac:dyDescent="0.25">
      <c r="A274" s="102"/>
      <c r="M274" s="16"/>
      <c r="V274" s="824"/>
      <c r="W274" s="824"/>
      <c r="X274" s="824"/>
      <c r="Y274" s="824"/>
      <c r="Z274" s="824"/>
      <c r="AA274" s="824"/>
      <c r="AB274" s="824"/>
      <c r="AC274" s="824"/>
      <c r="AD274" s="824"/>
      <c r="AE274" s="824"/>
      <c r="AF274" s="824"/>
      <c r="AG274" s="824"/>
      <c r="AH274" s="824"/>
      <c r="AI274" s="824"/>
      <c r="AJ274" s="824"/>
      <c r="AK274" s="824"/>
      <c r="AL274" s="824"/>
      <c r="AM274" s="824"/>
      <c r="AN274" s="824"/>
      <c r="AO274" s="824"/>
      <c r="AP274" s="824"/>
      <c r="AQ274" s="824"/>
      <c r="AR274" s="824"/>
    </row>
    <row r="275" spans="1:44" s="15" customFormat="1" x14ac:dyDescent="0.25">
      <c r="A275" s="102"/>
      <c r="M275" s="16"/>
      <c r="V275" s="824"/>
      <c r="W275" s="824"/>
      <c r="X275" s="824"/>
      <c r="Y275" s="824"/>
      <c r="Z275" s="824"/>
      <c r="AA275" s="824"/>
      <c r="AB275" s="824"/>
      <c r="AC275" s="824"/>
      <c r="AD275" s="824"/>
      <c r="AE275" s="824"/>
      <c r="AF275" s="824"/>
      <c r="AG275" s="824"/>
      <c r="AH275" s="824"/>
      <c r="AI275" s="824"/>
      <c r="AJ275" s="824"/>
      <c r="AK275" s="824"/>
      <c r="AL275" s="824"/>
      <c r="AM275" s="824"/>
      <c r="AN275" s="824"/>
      <c r="AO275" s="824"/>
      <c r="AP275" s="824"/>
      <c r="AQ275" s="824"/>
      <c r="AR275" s="824"/>
    </row>
    <row r="276" spans="1:44" s="15" customFormat="1" x14ac:dyDescent="0.25">
      <c r="A276" s="102"/>
      <c r="M276" s="16"/>
      <c r="V276" s="824"/>
      <c r="W276" s="824"/>
      <c r="X276" s="824"/>
      <c r="Y276" s="824"/>
      <c r="Z276" s="824"/>
      <c r="AA276" s="824"/>
      <c r="AB276" s="824"/>
      <c r="AC276" s="824"/>
      <c r="AD276" s="824"/>
      <c r="AE276" s="824"/>
      <c r="AF276" s="824"/>
      <c r="AG276" s="824"/>
      <c r="AH276" s="824"/>
      <c r="AI276" s="824"/>
      <c r="AJ276" s="824"/>
      <c r="AK276" s="824"/>
      <c r="AL276" s="824"/>
      <c r="AM276" s="824"/>
      <c r="AN276" s="824"/>
      <c r="AO276" s="824"/>
      <c r="AP276" s="824"/>
      <c r="AQ276" s="824"/>
      <c r="AR276" s="824"/>
    </row>
    <row r="277" spans="1:44" s="15" customFormat="1" x14ac:dyDescent="0.25">
      <c r="A277" s="102"/>
      <c r="M277" s="16"/>
      <c r="V277" s="824"/>
      <c r="W277" s="824"/>
      <c r="X277" s="824"/>
      <c r="Y277" s="824"/>
      <c r="Z277" s="824"/>
      <c r="AA277" s="824"/>
      <c r="AB277" s="824"/>
      <c r="AC277" s="824"/>
      <c r="AD277" s="824"/>
      <c r="AE277" s="824"/>
      <c r="AF277" s="824"/>
      <c r="AG277" s="824"/>
      <c r="AH277" s="824"/>
      <c r="AI277" s="824"/>
      <c r="AJ277" s="824"/>
      <c r="AK277" s="824"/>
      <c r="AL277" s="824"/>
      <c r="AM277" s="824"/>
      <c r="AN277" s="824"/>
      <c r="AO277" s="824"/>
      <c r="AP277" s="824"/>
      <c r="AQ277" s="824"/>
      <c r="AR277" s="824"/>
    </row>
    <row r="278" spans="1:44" s="15" customFormat="1" x14ac:dyDescent="0.25">
      <c r="A278" s="102"/>
      <c r="M278" s="16"/>
      <c r="V278" s="824"/>
      <c r="W278" s="824"/>
      <c r="X278" s="824"/>
      <c r="Y278" s="824"/>
      <c r="Z278" s="824"/>
      <c r="AA278" s="824"/>
      <c r="AB278" s="824"/>
      <c r="AC278" s="824"/>
      <c r="AD278" s="824"/>
      <c r="AE278" s="824"/>
      <c r="AF278" s="824"/>
      <c r="AG278" s="824"/>
      <c r="AH278" s="824"/>
      <c r="AI278" s="824"/>
      <c r="AJ278" s="824"/>
      <c r="AK278" s="824"/>
      <c r="AL278" s="824"/>
      <c r="AM278" s="824"/>
      <c r="AN278" s="824"/>
      <c r="AO278" s="824"/>
      <c r="AP278" s="824"/>
      <c r="AQ278" s="824"/>
      <c r="AR278" s="824"/>
    </row>
    <row r="279" spans="1:44" s="15" customFormat="1" x14ac:dyDescent="0.25">
      <c r="A279" s="102"/>
      <c r="M279" s="16"/>
      <c r="V279" s="824"/>
      <c r="W279" s="824"/>
      <c r="X279" s="824"/>
      <c r="Y279" s="824"/>
      <c r="Z279" s="824"/>
      <c r="AA279" s="824"/>
      <c r="AB279" s="824"/>
      <c r="AC279" s="824"/>
      <c r="AD279" s="824"/>
      <c r="AE279" s="824"/>
      <c r="AF279" s="824"/>
      <c r="AG279" s="824"/>
      <c r="AH279" s="824"/>
      <c r="AI279" s="824"/>
      <c r="AJ279" s="824"/>
      <c r="AK279" s="824"/>
      <c r="AL279" s="824"/>
      <c r="AM279" s="824"/>
      <c r="AN279" s="824"/>
      <c r="AO279" s="824"/>
      <c r="AP279" s="824"/>
      <c r="AQ279" s="824"/>
      <c r="AR279" s="824"/>
    </row>
    <row r="280" spans="1:44" s="15" customFormat="1" x14ac:dyDescent="0.25">
      <c r="A280" s="102"/>
      <c r="M280" s="16"/>
      <c r="V280" s="824"/>
      <c r="W280" s="824"/>
      <c r="X280" s="824"/>
      <c r="Y280" s="824"/>
      <c r="Z280" s="824"/>
      <c r="AA280" s="824"/>
      <c r="AB280" s="824"/>
      <c r="AC280" s="824"/>
      <c r="AD280" s="824"/>
      <c r="AE280" s="824"/>
      <c r="AF280" s="824"/>
      <c r="AG280" s="824"/>
      <c r="AH280" s="824"/>
      <c r="AI280" s="824"/>
      <c r="AJ280" s="824"/>
      <c r="AK280" s="824"/>
      <c r="AL280" s="824"/>
      <c r="AM280" s="824"/>
      <c r="AN280" s="824"/>
      <c r="AO280" s="824"/>
      <c r="AP280" s="824"/>
      <c r="AQ280" s="824"/>
      <c r="AR280" s="824"/>
    </row>
    <row r="281" spans="1:44" s="15" customFormat="1" x14ac:dyDescent="0.25">
      <c r="A281" s="102"/>
      <c r="M281" s="16"/>
      <c r="V281" s="824"/>
      <c r="W281" s="824"/>
      <c r="X281" s="824"/>
      <c r="Y281" s="824"/>
      <c r="Z281" s="824"/>
      <c r="AA281" s="824"/>
      <c r="AB281" s="824"/>
      <c r="AC281" s="824"/>
      <c r="AD281" s="824"/>
      <c r="AE281" s="824"/>
      <c r="AF281" s="824"/>
      <c r="AG281" s="824"/>
      <c r="AH281" s="824"/>
      <c r="AI281" s="824"/>
      <c r="AJ281" s="824"/>
      <c r="AK281" s="824"/>
      <c r="AL281" s="824"/>
      <c r="AM281" s="824"/>
      <c r="AN281" s="824"/>
      <c r="AO281" s="824"/>
      <c r="AP281" s="824"/>
      <c r="AQ281" s="824"/>
      <c r="AR281" s="824"/>
    </row>
    <row r="282" spans="1:44" s="15" customFormat="1" x14ac:dyDescent="0.25">
      <c r="A282" s="102"/>
      <c r="M282" s="16"/>
      <c r="V282" s="824"/>
      <c r="W282" s="824"/>
      <c r="X282" s="824"/>
      <c r="Y282" s="824"/>
      <c r="Z282" s="824"/>
      <c r="AA282" s="824"/>
      <c r="AB282" s="824"/>
      <c r="AC282" s="824"/>
      <c r="AD282" s="824"/>
      <c r="AE282" s="824"/>
      <c r="AF282" s="824"/>
      <c r="AG282" s="824"/>
      <c r="AH282" s="824"/>
      <c r="AI282" s="824"/>
      <c r="AJ282" s="824"/>
      <c r="AK282" s="824"/>
      <c r="AL282" s="824"/>
      <c r="AM282" s="824"/>
      <c r="AN282" s="824"/>
      <c r="AO282" s="824"/>
      <c r="AP282" s="824"/>
      <c r="AQ282" s="824"/>
      <c r="AR282" s="824"/>
    </row>
    <row r="283" spans="1:44" s="15" customFormat="1" x14ac:dyDescent="0.25">
      <c r="A283" s="102"/>
      <c r="M283" s="16"/>
      <c r="V283" s="824"/>
      <c r="W283" s="824"/>
      <c r="X283" s="824"/>
      <c r="Y283" s="824"/>
      <c r="Z283" s="824"/>
      <c r="AA283" s="824"/>
      <c r="AB283" s="824"/>
      <c r="AC283" s="824"/>
      <c r="AD283" s="824"/>
      <c r="AE283" s="824"/>
      <c r="AF283" s="824"/>
      <c r="AG283" s="824"/>
      <c r="AH283" s="824"/>
      <c r="AI283" s="824"/>
      <c r="AJ283" s="824"/>
      <c r="AK283" s="824"/>
      <c r="AL283" s="824"/>
      <c r="AM283" s="824"/>
      <c r="AN283" s="824"/>
      <c r="AO283" s="824"/>
      <c r="AP283" s="824"/>
      <c r="AQ283" s="824"/>
      <c r="AR283" s="824"/>
    </row>
    <row r="284" spans="1:44" s="15" customFormat="1" x14ac:dyDescent="0.25">
      <c r="A284" s="102"/>
      <c r="M284" s="16"/>
      <c r="V284" s="824"/>
      <c r="W284" s="824"/>
      <c r="X284" s="824"/>
      <c r="Y284" s="824"/>
      <c r="Z284" s="824"/>
      <c r="AA284" s="824"/>
      <c r="AB284" s="824"/>
      <c r="AC284" s="824"/>
      <c r="AD284" s="824"/>
      <c r="AE284" s="824"/>
      <c r="AF284" s="824"/>
      <c r="AG284" s="824"/>
      <c r="AH284" s="824"/>
      <c r="AI284" s="824"/>
      <c r="AJ284" s="824"/>
      <c r="AK284" s="824"/>
      <c r="AL284" s="824"/>
      <c r="AM284" s="824"/>
      <c r="AN284" s="824"/>
      <c r="AO284" s="824"/>
      <c r="AP284" s="824"/>
      <c r="AQ284" s="824"/>
      <c r="AR284" s="824"/>
    </row>
    <row r="285" spans="1:44" s="15" customFormat="1" x14ac:dyDescent="0.25">
      <c r="A285" s="102"/>
      <c r="M285" s="16"/>
      <c r="V285" s="824"/>
      <c r="W285" s="824"/>
      <c r="X285" s="824"/>
      <c r="Y285" s="824"/>
      <c r="Z285" s="824"/>
      <c r="AA285" s="824"/>
      <c r="AB285" s="824"/>
      <c r="AC285" s="824"/>
      <c r="AD285" s="824"/>
      <c r="AE285" s="824"/>
      <c r="AF285" s="824"/>
      <c r="AG285" s="824"/>
      <c r="AH285" s="824"/>
      <c r="AI285" s="824"/>
      <c r="AJ285" s="824"/>
      <c r="AK285" s="824"/>
      <c r="AL285" s="824"/>
      <c r="AM285" s="824"/>
      <c r="AN285" s="824"/>
      <c r="AO285" s="824"/>
      <c r="AP285" s="824"/>
      <c r="AQ285" s="824"/>
      <c r="AR285" s="824"/>
    </row>
    <row r="286" spans="1:44" s="15" customFormat="1" x14ac:dyDescent="0.25">
      <c r="A286" s="102"/>
      <c r="M286" s="16"/>
      <c r="V286" s="824"/>
      <c r="W286" s="824"/>
      <c r="X286" s="824"/>
      <c r="Y286" s="824"/>
      <c r="Z286" s="824"/>
      <c r="AA286" s="824"/>
      <c r="AB286" s="824"/>
      <c r="AC286" s="824"/>
      <c r="AD286" s="824"/>
      <c r="AE286" s="824"/>
      <c r="AF286" s="824"/>
      <c r="AG286" s="824"/>
      <c r="AH286" s="824"/>
      <c r="AI286" s="824"/>
      <c r="AJ286" s="824"/>
      <c r="AK286" s="824"/>
      <c r="AL286" s="824"/>
      <c r="AM286" s="824"/>
      <c r="AN286" s="824"/>
      <c r="AO286" s="824"/>
      <c r="AP286" s="824"/>
      <c r="AQ286" s="824"/>
      <c r="AR286" s="824"/>
    </row>
    <row r="287" spans="1:44" s="15" customFormat="1" x14ac:dyDescent="0.25">
      <c r="A287" s="102"/>
      <c r="M287" s="16"/>
      <c r="V287" s="824"/>
      <c r="W287" s="824"/>
      <c r="X287" s="824"/>
      <c r="Y287" s="824"/>
      <c r="Z287" s="824"/>
      <c r="AA287" s="824"/>
      <c r="AB287" s="824"/>
      <c r="AC287" s="824"/>
      <c r="AD287" s="824"/>
      <c r="AE287" s="824"/>
      <c r="AF287" s="824"/>
      <c r="AG287" s="824"/>
      <c r="AH287" s="824"/>
      <c r="AI287" s="824"/>
      <c r="AJ287" s="824"/>
      <c r="AK287" s="824"/>
      <c r="AL287" s="824"/>
      <c r="AM287" s="824"/>
      <c r="AN287" s="824"/>
      <c r="AO287" s="824"/>
      <c r="AP287" s="824"/>
      <c r="AQ287" s="824"/>
      <c r="AR287" s="824"/>
    </row>
    <row r="288" spans="1:44" s="15" customFormat="1" x14ac:dyDescent="0.25">
      <c r="A288" s="102"/>
      <c r="M288" s="16"/>
      <c r="V288" s="824"/>
      <c r="W288" s="824"/>
      <c r="X288" s="824"/>
      <c r="Y288" s="824"/>
      <c r="Z288" s="824"/>
      <c r="AA288" s="824"/>
      <c r="AB288" s="824"/>
      <c r="AC288" s="824"/>
      <c r="AD288" s="824"/>
      <c r="AE288" s="824"/>
      <c r="AF288" s="824"/>
      <c r="AG288" s="824"/>
      <c r="AH288" s="824"/>
      <c r="AI288" s="824"/>
      <c r="AJ288" s="824"/>
      <c r="AK288" s="824"/>
      <c r="AL288" s="824"/>
      <c r="AM288" s="824"/>
      <c r="AN288" s="824"/>
      <c r="AO288" s="824"/>
      <c r="AP288" s="824"/>
      <c r="AQ288" s="824"/>
      <c r="AR288" s="824"/>
    </row>
    <row r="289" spans="1:44" s="15" customFormat="1" x14ac:dyDescent="0.25">
      <c r="A289" s="102"/>
      <c r="M289" s="16"/>
      <c r="V289" s="824"/>
      <c r="W289" s="824"/>
      <c r="X289" s="824"/>
      <c r="Y289" s="824"/>
      <c r="Z289" s="824"/>
      <c r="AA289" s="824"/>
      <c r="AB289" s="824"/>
      <c r="AC289" s="824"/>
      <c r="AD289" s="824"/>
      <c r="AE289" s="824"/>
      <c r="AF289" s="824"/>
      <c r="AG289" s="824"/>
      <c r="AH289" s="824"/>
      <c r="AI289" s="824"/>
      <c r="AJ289" s="824"/>
      <c r="AK289" s="824"/>
      <c r="AL289" s="824"/>
      <c r="AM289" s="824"/>
      <c r="AN289" s="824"/>
      <c r="AO289" s="824"/>
      <c r="AP289" s="824"/>
      <c r="AQ289" s="824"/>
      <c r="AR289" s="824"/>
    </row>
    <row r="290" spans="1:44" s="15" customFormat="1" x14ac:dyDescent="0.25">
      <c r="A290" s="102"/>
      <c r="M290" s="16"/>
      <c r="V290" s="824"/>
      <c r="W290" s="824"/>
      <c r="X290" s="824"/>
      <c r="Y290" s="824"/>
      <c r="Z290" s="824"/>
      <c r="AA290" s="824"/>
      <c r="AB290" s="824"/>
      <c r="AC290" s="824"/>
      <c r="AD290" s="824"/>
      <c r="AE290" s="824"/>
      <c r="AF290" s="824"/>
      <c r="AG290" s="824"/>
      <c r="AH290" s="824"/>
      <c r="AI290" s="824"/>
      <c r="AJ290" s="824"/>
      <c r="AK290" s="824"/>
      <c r="AL290" s="824"/>
      <c r="AM290" s="824"/>
      <c r="AN290" s="824"/>
      <c r="AO290" s="824"/>
      <c r="AP290" s="824"/>
      <c r="AQ290" s="824"/>
      <c r="AR290" s="824"/>
    </row>
    <row r="291" spans="1:44" s="15" customFormat="1" x14ac:dyDescent="0.25">
      <c r="A291" s="102"/>
      <c r="M291" s="16"/>
      <c r="V291" s="824"/>
      <c r="W291" s="824"/>
      <c r="X291" s="824"/>
      <c r="Y291" s="824"/>
      <c r="Z291" s="824"/>
      <c r="AA291" s="824"/>
      <c r="AB291" s="824"/>
      <c r="AC291" s="824"/>
      <c r="AD291" s="824"/>
      <c r="AE291" s="824"/>
      <c r="AF291" s="824"/>
      <c r="AG291" s="824"/>
      <c r="AH291" s="824"/>
      <c r="AI291" s="824"/>
      <c r="AJ291" s="824"/>
      <c r="AK291" s="824"/>
      <c r="AL291" s="824"/>
      <c r="AM291" s="824"/>
      <c r="AN291" s="824"/>
      <c r="AO291" s="824"/>
      <c r="AP291" s="824"/>
      <c r="AQ291" s="824"/>
      <c r="AR291" s="824"/>
    </row>
    <row r="292" spans="1:44" s="15" customFormat="1" x14ac:dyDescent="0.25">
      <c r="A292" s="102"/>
      <c r="M292" s="16"/>
      <c r="V292" s="824"/>
      <c r="W292" s="824"/>
      <c r="X292" s="824"/>
      <c r="Y292" s="824"/>
      <c r="Z292" s="824"/>
      <c r="AA292" s="824"/>
      <c r="AB292" s="824"/>
      <c r="AC292" s="824"/>
      <c r="AD292" s="824"/>
      <c r="AE292" s="824"/>
      <c r="AF292" s="824"/>
      <c r="AG292" s="824"/>
      <c r="AH292" s="824"/>
      <c r="AI292" s="824"/>
      <c r="AJ292" s="824"/>
      <c r="AK292" s="824"/>
      <c r="AL292" s="824"/>
      <c r="AM292" s="824"/>
      <c r="AN292" s="824"/>
      <c r="AO292" s="824"/>
      <c r="AP292" s="824"/>
      <c r="AQ292" s="824"/>
      <c r="AR292" s="824"/>
    </row>
    <row r="293" spans="1:44" s="15" customFormat="1" x14ac:dyDescent="0.25">
      <c r="A293" s="102"/>
      <c r="M293" s="16"/>
      <c r="V293" s="824"/>
      <c r="W293" s="824"/>
      <c r="X293" s="824"/>
      <c r="Y293" s="824"/>
      <c r="Z293" s="824"/>
      <c r="AA293" s="824"/>
      <c r="AB293" s="824"/>
      <c r="AC293" s="824"/>
      <c r="AD293" s="824"/>
      <c r="AE293" s="824"/>
      <c r="AF293" s="824"/>
      <c r="AG293" s="824"/>
      <c r="AH293" s="824"/>
      <c r="AI293" s="824"/>
      <c r="AJ293" s="824"/>
      <c r="AK293" s="824"/>
      <c r="AL293" s="824"/>
      <c r="AM293" s="824"/>
      <c r="AN293" s="824"/>
      <c r="AO293" s="824"/>
      <c r="AP293" s="824"/>
      <c r="AQ293" s="824"/>
      <c r="AR293" s="824"/>
    </row>
    <row r="294" spans="1:44" s="15" customFormat="1" x14ac:dyDescent="0.25">
      <c r="A294" s="102"/>
      <c r="M294" s="16"/>
      <c r="V294" s="824"/>
      <c r="W294" s="824"/>
      <c r="X294" s="824"/>
      <c r="Y294" s="824"/>
      <c r="Z294" s="824"/>
      <c r="AA294" s="824"/>
      <c r="AB294" s="824"/>
      <c r="AC294" s="824"/>
      <c r="AD294" s="824"/>
      <c r="AE294" s="824"/>
      <c r="AF294" s="824"/>
      <c r="AG294" s="824"/>
      <c r="AH294" s="824"/>
      <c r="AI294" s="824"/>
      <c r="AJ294" s="824"/>
      <c r="AK294" s="824"/>
      <c r="AL294" s="824"/>
      <c r="AM294" s="824"/>
      <c r="AN294" s="824"/>
      <c r="AO294" s="824"/>
      <c r="AP294" s="824"/>
      <c r="AQ294" s="824"/>
      <c r="AR294" s="824"/>
    </row>
    <row r="295" spans="1:44" s="15" customFormat="1" x14ac:dyDescent="0.25">
      <c r="A295" s="102"/>
      <c r="M295" s="16"/>
      <c r="V295" s="824"/>
      <c r="W295" s="824"/>
      <c r="X295" s="824"/>
      <c r="Y295" s="824"/>
      <c r="Z295" s="824"/>
      <c r="AA295" s="824"/>
      <c r="AB295" s="824"/>
      <c r="AC295" s="824"/>
      <c r="AD295" s="824"/>
      <c r="AE295" s="824"/>
      <c r="AF295" s="824"/>
      <c r="AG295" s="824"/>
      <c r="AH295" s="824"/>
      <c r="AI295" s="824"/>
      <c r="AJ295" s="824"/>
      <c r="AK295" s="824"/>
      <c r="AL295" s="824"/>
      <c r="AM295" s="824"/>
      <c r="AN295" s="824"/>
      <c r="AO295" s="824"/>
      <c r="AP295" s="824"/>
      <c r="AQ295" s="824"/>
      <c r="AR295" s="824"/>
    </row>
    <row r="296" spans="1:44" s="15" customFormat="1" x14ac:dyDescent="0.25">
      <c r="A296" s="102"/>
      <c r="M296" s="16"/>
      <c r="V296" s="824"/>
      <c r="W296" s="824"/>
      <c r="X296" s="824"/>
      <c r="Y296" s="824"/>
      <c r="Z296" s="824"/>
      <c r="AA296" s="824"/>
      <c r="AB296" s="824"/>
      <c r="AC296" s="824"/>
      <c r="AD296" s="824"/>
      <c r="AE296" s="824"/>
      <c r="AF296" s="824"/>
      <c r="AG296" s="824"/>
      <c r="AH296" s="824"/>
      <c r="AI296" s="824"/>
      <c r="AJ296" s="824"/>
      <c r="AK296" s="824"/>
      <c r="AL296" s="824"/>
      <c r="AM296" s="824"/>
      <c r="AN296" s="824"/>
      <c r="AO296" s="824"/>
      <c r="AP296" s="824"/>
      <c r="AQ296" s="824"/>
      <c r="AR296" s="824"/>
    </row>
    <row r="297" spans="1:44" s="15" customFormat="1" x14ac:dyDescent="0.25">
      <c r="A297" s="102"/>
      <c r="M297" s="16"/>
      <c r="V297" s="824"/>
      <c r="W297" s="824"/>
      <c r="X297" s="824"/>
      <c r="Y297" s="824"/>
      <c r="Z297" s="824"/>
      <c r="AA297" s="824"/>
      <c r="AB297" s="824"/>
      <c r="AC297" s="824"/>
      <c r="AD297" s="824"/>
      <c r="AE297" s="824"/>
      <c r="AF297" s="824"/>
      <c r="AG297" s="824"/>
      <c r="AH297" s="824"/>
      <c r="AI297" s="824"/>
      <c r="AJ297" s="824"/>
      <c r="AK297" s="824"/>
      <c r="AL297" s="824"/>
      <c r="AM297" s="824"/>
      <c r="AN297" s="824"/>
      <c r="AO297" s="824"/>
      <c r="AP297" s="824"/>
      <c r="AQ297" s="824"/>
      <c r="AR297" s="824"/>
    </row>
    <row r="298" spans="1:44" s="15" customFormat="1" x14ac:dyDescent="0.25">
      <c r="A298" s="102"/>
      <c r="M298" s="16"/>
      <c r="V298" s="824"/>
      <c r="W298" s="824"/>
      <c r="X298" s="824"/>
      <c r="Y298" s="824"/>
      <c r="Z298" s="824"/>
      <c r="AA298" s="824"/>
      <c r="AB298" s="824"/>
      <c r="AC298" s="824"/>
      <c r="AD298" s="824"/>
      <c r="AE298" s="824"/>
      <c r="AF298" s="824"/>
      <c r="AG298" s="824"/>
      <c r="AH298" s="824"/>
      <c r="AI298" s="824"/>
      <c r="AJ298" s="824"/>
      <c r="AK298" s="824"/>
      <c r="AL298" s="824"/>
      <c r="AM298" s="824"/>
      <c r="AN298" s="824"/>
      <c r="AO298" s="824"/>
      <c r="AP298" s="824"/>
      <c r="AQ298" s="824"/>
      <c r="AR298" s="824"/>
    </row>
    <row r="299" spans="1:44" s="15" customFormat="1" x14ac:dyDescent="0.25">
      <c r="A299" s="102"/>
      <c r="M299" s="16"/>
      <c r="V299" s="824"/>
      <c r="W299" s="824"/>
      <c r="X299" s="824"/>
      <c r="Y299" s="824"/>
      <c r="Z299" s="824"/>
      <c r="AA299" s="824"/>
      <c r="AB299" s="824"/>
      <c r="AC299" s="824"/>
      <c r="AD299" s="824"/>
      <c r="AE299" s="824"/>
      <c r="AF299" s="824"/>
      <c r="AG299" s="824"/>
      <c r="AH299" s="824"/>
      <c r="AI299" s="824"/>
      <c r="AJ299" s="824"/>
      <c r="AK299" s="824"/>
      <c r="AL299" s="824"/>
      <c r="AM299" s="824"/>
      <c r="AN299" s="824"/>
      <c r="AO299" s="824"/>
      <c r="AP299" s="824"/>
      <c r="AQ299" s="824"/>
      <c r="AR299" s="824"/>
    </row>
    <row r="300" spans="1:44" s="15" customFormat="1" x14ac:dyDescent="0.25">
      <c r="A300" s="102"/>
      <c r="M300" s="16"/>
      <c r="V300" s="824"/>
      <c r="W300" s="824"/>
      <c r="X300" s="824"/>
      <c r="Y300" s="824"/>
      <c r="Z300" s="824"/>
      <c r="AA300" s="824"/>
      <c r="AB300" s="824"/>
      <c r="AC300" s="824"/>
      <c r="AD300" s="824"/>
      <c r="AE300" s="824"/>
      <c r="AF300" s="824"/>
      <c r="AG300" s="824"/>
      <c r="AH300" s="824"/>
      <c r="AI300" s="824"/>
      <c r="AJ300" s="824"/>
      <c r="AK300" s="824"/>
      <c r="AL300" s="824"/>
      <c r="AM300" s="824"/>
      <c r="AN300" s="824"/>
      <c r="AO300" s="824"/>
      <c r="AP300" s="824"/>
      <c r="AQ300" s="824"/>
      <c r="AR300" s="824"/>
    </row>
    <row r="301" spans="1:44" s="15" customFormat="1" x14ac:dyDescent="0.25">
      <c r="A301" s="102"/>
      <c r="M301" s="16"/>
      <c r="V301" s="824"/>
      <c r="W301" s="824"/>
      <c r="X301" s="824"/>
      <c r="Y301" s="824"/>
      <c r="Z301" s="824"/>
      <c r="AA301" s="824"/>
      <c r="AB301" s="824"/>
      <c r="AC301" s="824"/>
      <c r="AD301" s="824"/>
      <c r="AE301" s="824"/>
      <c r="AF301" s="824"/>
      <c r="AG301" s="824"/>
      <c r="AH301" s="824"/>
      <c r="AI301" s="824"/>
      <c r="AJ301" s="824"/>
      <c r="AK301" s="824"/>
      <c r="AL301" s="824"/>
      <c r="AM301" s="824"/>
      <c r="AN301" s="824"/>
      <c r="AO301" s="824"/>
      <c r="AP301" s="824"/>
      <c r="AQ301" s="824"/>
      <c r="AR301" s="824"/>
    </row>
    <row r="302" spans="1:44" s="15" customFormat="1" x14ac:dyDescent="0.25">
      <c r="A302" s="102"/>
      <c r="M302" s="16"/>
      <c r="V302" s="824"/>
      <c r="W302" s="824"/>
      <c r="X302" s="824"/>
      <c r="Y302" s="824"/>
      <c r="Z302" s="824"/>
      <c r="AA302" s="824"/>
      <c r="AB302" s="824"/>
      <c r="AC302" s="824"/>
      <c r="AD302" s="824"/>
      <c r="AE302" s="824"/>
      <c r="AF302" s="824"/>
      <c r="AG302" s="824"/>
      <c r="AH302" s="824"/>
      <c r="AI302" s="824"/>
      <c r="AJ302" s="824"/>
      <c r="AK302" s="824"/>
      <c r="AL302" s="824"/>
      <c r="AM302" s="824"/>
      <c r="AN302" s="824"/>
      <c r="AO302" s="824"/>
      <c r="AP302" s="824"/>
      <c r="AQ302" s="824"/>
      <c r="AR302" s="824"/>
    </row>
    <row r="303" spans="1:44" s="15" customFormat="1" x14ac:dyDescent="0.25">
      <c r="A303" s="102"/>
      <c r="M303" s="16"/>
      <c r="V303" s="824"/>
      <c r="W303" s="824"/>
      <c r="X303" s="824"/>
      <c r="Y303" s="824"/>
      <c r="Z303" s="824"/>
      <c r="AA303" s="824"/>
      <c r="AB303" s="824"/>
      <c r="AC303" s="824"/>
      <c r="AD303" s="824"/>
      <c r="AE303" s="824"/>
      <c r="AF303" s="824"/>
      <c r="AG303" s="824"/>
      <c r="AH303" s="824"/>
      <c r="AI303" s="824"/>
      <c r="AJ303" s="824"/>
      <c r="AK303" s="824"/>
      <c r="AL303" s="824"/>
      <c r="AM303" s="824"/>
      <c r="AN303" s="824"/>
      <c r="AO303" s="824"/>
      <c r="AP303" s="824"/>
      <c r="AQ303" s="824"/>
      <c r="AR303" s="824"/>
    </row>
    <row r="304" spans="1:44" s="15" customFormat="1" x14ac:dyDescent="0.25">
      <c r="A304" s="102"/>
      <c r="M304" s="16"/>
      <c r="V304" s="824"/>
      <c r="W304" s="824"/>
      <c r="X304" s="824"/>
      <c r="Y304" s="824"/>
      <c r="Z304" s="824"/>
      <c r="AA304" s="824"/>
      <c r="AB304" s="824"/>
      <c r="AC304" s="824"/>
      <c r="AD304" s="824"/>
      <c r="AE304" s="824"/>
      <c r="AF304" s="824"/>
      <c r="AG304" s="824"/>
      <c r="AH304" s="824"/>
      <c r="AI304" s="824"/>
      <c r="AJ304" s="824"/>
      <c r="AK304" s="824"/>
      <c r="AL304" s="824"/>
      <c r="AM304" s="824"/>
      <c r="AN304" s="824"/>
      <c r="AO304" s="824"/>
      <c r="AP304" s="824"/>
      <c r="AQ304" s="824"/>
      <c r="AR304" s="824"/>
    </row>
    <row r="305" spans="1:44" s="15" customFormat="1" x14ac:dyDescent="0.25">
      <c r="A305" s="102"/>
      <c r="M305" s="16"/>
      <c r="V305" s="824"/>
      <c r="W305" s="824"/>
      <c r="X305" s="824"/>
      <c r="Y305" s="824"/>
      <c r="Z305" s="824"/>
      <c r="AA305" s="824"/>
      <c r="AB305" s="824"/>
      <c r="AC305" s="824"/>
      <c r="AD305" s="824"/>
      <c r="AE305" s="824"/>
      <c r="AF305" s="824"/>
      <c r="AG305" s="824"/>
      <c r="AH305" s="824"/>
      <c r="AI305" s="824"/>
      <c r="AJ305" s="824"/>
      <c r="AK305" s="824"/>
      <c r="AL305" s="824"/>
      <c r="AM305" s="824"/>
      <c r="AN305" s="824"/>
      <c r="AO305" s="824"/>
      <c r="AP305" s="824"/>
      <c r="AQ305" s="824"/>
      <c r="AR305" s="824"/>
    </row>
    <row r="306" spans="1:44" s="15" customFormat="1" x14ac:dyDescent="0.25">
      <c r="A306" s="102"/>
      <c r="M306" s="16"/>
      <c r="V306" s="824"/>
      <c r="W306" s="824"/>
      <c r="X306" s="824"/>
      <c r="Y306" s="824"/>
      <c r="Z306" s="824"/>
      <c r="AA306" s="824"/>
      <c r="AB306" s="824"/>
      <c r="AC306" s="824"/>
      <c r="AD306" s="824"/>
      <c r="AE306" s="824"/>
      <c r="AF306" s="824"/>
      <c r="AG306" s="824"/>
      <c r="AH306" s="824"/>
      <c r="AI306" s="824"/>
      <c r="AJ306" s="824"/>
      <c r="AK306" s="824"/>
      <c r="AL306" s="824"/>
      <c r="AM306" s="824"/>
      <c r="AN306" s="824"/>
      <c r="AO306" s="824"/>
      <c r="AP306" s="824"/>
      <c r="AQ306" s="824"/>
      <c r="AR306" s="824"/>
    </row>
    <row r="307" spans="1:44" s="15" customFormat="1" x14ac:dyDescent="0.25">
      <c r="A307" s="102"/>
      <c r="M307" s="16"/>
      <c r="V307" s="824"/>
      <c r="W307" s="824"/>
      <c r="X307" s="824"/>
      <c r="Y307" s="824"/>
      <c r="Z307" s="824"/>
      <c r="AA307" s="824"/>
      <c r="AB307" s="824"/>
      <c r="AC307" s="824"/>
      <c r="AD307" s="824"/>
      <c r="AE307" s="824"/>
      <c r="AF307" s="824"/>
      <c r="AG307" s="824"/>
      <c r="AH307" s="824"/>
      <c r="AI307" s="824"/>
      <c r="AJ307" s="824"/>
      <c r="AK307" s="824"/>
      <c r="AL307" s="824"/>
      <c r="AM307" s="824"/>
      <c r="AN307" s="824"/>
      <c r="AO307" s="824"/>
      <c r="AP307" s="824"/>
      <c r="AQ307" s="824"/>
      <c r="AR307" s="824"/>
    </row>
    <row r="308" spans="1:44" s="15" customFormat="1" x14ac:dyDescent="0.25">
      <c r="A308" s="102"/>
      <c r="M308" s="16"/>
      <c r="V308" s="824"/>
      <c r="W308" s="824"/>
      <c r="X308" s="824"/>
      <c r="Y308" s="824"/>
      <c r="Z308" s="824"/>
      <c r="AA308" s="824"/>
      <c r="AB308" s="824"/>
      <c r="AC308" s="824"/>
      <c r="AD308" s="824"/>
      <c r="AE308" s="824"/>
      <c r="AF308" s="824"/>
      <c r="AG308" s="824"/>
      <c r="AH308" s="824"/>
      <c r="AI308" s="824"/>
      <c r="AJ308" s="824"/>
      <c r="AK308" s="824"/>
      <c r="AL308" s="824"/>
      <c r="AM308" s="824"/>
      <c r="AN308" s="824"/>
      <c r="AO308" s="824"/>
      <c r="AP308" s="824"/>
      <c r="AQ308" s="824"/>
      <c r="AR308" s="824"/>
    </row>
    <row r="309" spans="1:44" s="15" customFormat="1" x14ac:dyDescent="0.25">
      <c r="A309" s="102"/>
      <c r="M309" s="16"/>
      <c r="V309" s="824"/>
      <c r="W309" s="824"/>
      <c r="X309" s="824"/>
      <c r="Y309" s="824"/>
      <c r="Z309" s="824"/>
      <c r="AA309" s="824"/>
      <c r="AB309" s="824"/>
      <c r="AC309" s="824"/>
      <c r="AD309" s="824"/>
      <c r="AE309" s="824"/>
      <c r="AF309" s="824"/>
      <c r="AG309" s="824"/>
      <c r="AH309" s="824"/>
      <c r="AI309" s="824"/>
      <c r="AJ309" s="824"/>
      <c r="AK309" s="824"/>
      <c r="AL309" s="824"/>
      <c r="AM309" s="824"/>
      <c r="AN309" s="824"/>
      <c r="AO309" s="824"/>
      <c r="AP309" s="824"/>
      <c r="AQ309" s="824"/>
      <c r="AR309" s="824"/>
    </row>
    <row r="310" spans="1:44" s="15" customFormat="1" x14ac:dyDescent="0.25">
      <c r="A310" s="102"/>
      <c r="M310" s="16"/>
      <c r="V310" s="824"/>
      <c r="W310" s="824"/>
      <c r="X310" s="824"/>
      <c r="Y310" s="824"/>
      <c r="Z310" s="824"/>
      <c r="AA310" s="824"/>
      <c r="AB310" s="824"/>
      <c r="AC310" s="824"/>
      <c r="AD310" s="824"/>
      <c r="AE310" s="824"/>
      <c r="AF310" s="824"/>
      <c r="AG310" s="824"/>
      <c r="AH310" s="824"/>
      <c r="AI310" s="824"/>
      <c r="AJ310" s="824"/>
      <c r="AK310" s="824"/>
      <c r="AL310" s="824"/>
      <c r="AM310" s="824"/>
      <c r="AN310" s="824"/>
      <c r="AO310" s="824"/>
      <c r="AP310" s="824"/>
      <c r="AQ310" s="824"/>
      <c r="AR310" s="824"/>
    </row>
    <row r="311" spans="1:44" s="15" customFormat="1" x14ac:dyDescent="0.25">
      <c r="A311" s="102"/>
      <c r="M311" s="16"/>
      <c r="V311" s="824"/>
      <c r="W311" s="824"/>
      <c r="X311" s="824"/>
      <c r="Y311" s="824"/>
      <c r="Z311" s="824"/>
      <c r="AA311" s="824"/>
      <c r="AB311" s="824"/>
      <c r="AC311" s="824"/>
      <c r="AD311" s="824"/>
      <c r="AE311" s="824"/>
      <c r="AF311" s="824"/>
      <c r="AG311" s="824"/>
      <c r="AH311" s="824"/>
      <c r="AI311" s="824"/>
      <c r="AJ311" s="824"/>
      <c r="AK311" s="824"/>
      <c r="AL311" s="824"/>
      <c r="AM311" s="824"/>
      <c r="AN311" s="824"/>
      <c r="AO311" s="824"/>
      <c r="AP311" s="824"/>
      <c r="AQ311" s="824"/>
      <c r="AR311" s="824"/>
    </row>
    <row r="312" spans="1:44" s="15" customFormat="1" x14ac:dyDescent="0.25">
      <c r="A312" s="102"/>
      <c r="M312" s="16"/>
      <c r="V312" s="824"/>
      <c r="W312" s="824"/>
      <c r="X312" s="824"/>
      <c r="Y312" s="824"/>
      <c r="Z312" s="824"/>
      <c r="AA312" s="824"/>
      <c r="AB312" s="824"/>
      <c r="AC312" s="824"/>
      <c r="AD312" s="824"/>
      <c r="AE312" s="824"/>
      <c r="AF312" s="824"/>
      <c r="AG312" s="824"/>
      <c r="AH312" s="824"/>
      <c r="AI312" s="824"/>
      <c r="AJ312" s="824"/>
      <c r="AK312" s="824"/>
      <c r="AL312" s="824"/>
      <c r="AM312" s="824"/>
      <c r="AN312" s="824"/>
      <c r="AO312" s="824"/>
      <c r="AP312" s="824"/>
      <c r="AQ312" s="824"/>
      <c r="AR312" s="824"/>
    </row>
    <row r="313" spans="1:44" s="15" customFormat="1" x14ac:dyDescent="0.25">
      <c r="A313" s="102"/>
      <c r="M313" s="16"/>
      <c r="V313" s="824"/>
      <c r="W313" s="824"/>
      <c r="X313" s="824"/>
      <c r="Y313" s="824"/>
      <c r="Z313" s="824"/>
      <c r="AA313" s="824"/>
      <c r="AB313" s="824"/>
      <c r="AC313" s="824"/>
      <c r="AD313" s="824"/>
      <c r="AE313" s="824"/>
      <c r="AF313" s="824"/>
      <c r="AG313" s="824"/>
      <c r="AH313" s="824"/>
      <c r="AI313" s="824"/>
      <c r="AJ313" s="824"/>
      <c r="AK313" s="824"/>
      <c r="AL313" s="824"/>
      <c r="AM313" s="824"/>
      <c r="AN313" s="824"/>
      <c r="AO313" s="824"/>
      <c r="AP313" s="824"/>
      <c r="AQ313" s="824"/>
      <c r="AR313" s="824"/>
    </row>
    <row r="314" spans="1:44" s="15" customFormat="1" x14ac:dyDescent="0.25">
      <c r="A314" s="102"/>
      <c r="M314" s="16"/>
      <c r="V314" s="824"/>
      <c r="W314" s="824"/>
      <c r="X314" s="824"/>
      <c r="Y314" s="824"/>
      <c r="Z314" s="824"/>
      <c r="AA314" s="824"/>
      <c r="AB314" s="824"/>
      <c r="AC314" s="824"/>
      <c r="AD314" s="824"/>
      <c r="AE314" s="824"/>
      <c r="AF314" s="824"/>
      <c r="AG314" s="824"/>
      <c r="AH314" s="824"/>
      <c r="AI314" s="824"/>
      <c r="AJ314" s="824"/>
      <c r="AK314" s="824"/>
      <c r="AL314" s="824"/>
      <c r="AM314" s="824"/>
      <c r="AN314" s="824"/>
      <c r="AO314" s="824"/>
      <c r="AP314" s="824"/>
      <c r="AQ314" s="824"/>
      <c r="AR314" s="824"/>
    </row>
    <row r="315" spans="1:44" s="15" customFormat="1" x14ac:dyDescent="0.25">
      <c r="A315" s="102"/>
      <c r="M315" s="16"/>
      <c r="V315" s="824"/>
      <c r="W315" s="824"/>
      <c r="X315" s="824"/>
      <c r="Y315" s="824"/>
      <c r="Z315" s="824"/>
      <c r="AA315" s="824"/>
      <c r="AB315" s="824"/>
      <c r="AC315" s="824"/>
      <c r="AD315" s="824"/>
      <c r="AE315" s="824"/>
      <c r="AF315" s="824"/>
      <c r="AG315" s="824"/>
      <c r="AH315" s="824"/>
      <c r="AI315" s="824"/>
      <c r="AJ315" s="824"/>
      <c r="AK315" s="824"/>
      <c r="AL315" s="824"/>
      <c r="AM315" s="824"/>
      <c r="AN315" s="824"/>
      <c r="AO315" s="824"/>
      <c r="AP315" s="824"/>
      <c r="AQ315" s="824"/>
      <c r="AR315" s="824"/>
    </row>
    <row r="316" spans="1:44" s="15" customFormat="1" x14ac:dyDescent="0.25">
      <c r="A316" s="102"/>
      <c r="M316" s="16"/>
      <c r="V316" s="824"/>
      <c r="W316" s="824"/>
      <c r="X316" s="824"/>
      <c r="Y316" s="824"/>
      <c r="Z316" s="824"/>
      <c r="AA316" s="824"/>
      <c r="AB316" s="824"/>
      <c r="AC316" s="824"/>
      <c r="AD316" s="824"/>
      <c r="AE316" s="824"/>
      <c r="AF316" s="824"/>
      <c r="AG316" s="824"/>
      <c r="AH316" s="824"/>
      <c r="AI316" s="824"/>
      <c r="AJ316" s="824"/>
      <c r="AK316" s="824"/>
      <c r="AL316" s="824"/>
      <c r="AM316" s="824"/>
      <c r="AN316" s="824"/>
      <c r="AO316" s="824"/>
      <c r="AP316" s="824"/>
      <c r="AQ316" s="824"/>
      <c r="AR316" s="824"/>
    </row>
    <row r="317" spans="1:44" s="15" customFormat="1" x14ac:dyDescent="0.25">
      <c r="A317" s="102"/>
      <c r="M317" s="16"/>
      <c r="V317" s="824"/>
      <c r="W317" s="824"/>
      <c r="X317" s="824"/>
      <c r="Y317" s="824"/>
      <c r="Z317" s="824"/>
      <c r="AA317" s="824"/>
      <c r="AB317" s="824"/>
      <c r="AC317" s="824"/>
      <c r="AD317" s="824"/>
      <c r="AE317" s="824"/>
      <c r="AF317" s="824"/>
      <c r="AG317" s="824"/>
      <c r="AH317" s="824"/>
      <c r="AI317" s="824"/>
      <c r="AJ317" s="824"/>
      <c r="AK317" s="824"/>
      <c r="AL317" s="824"/>
      <c r="AM317" s="824"/>
      <c r="AN317" s="824"/>
      <c r="AO317" s="824"/>
      <c r="AP317" s="824"/>
      <c r="AQ317" s="824"/>
      <c r="AR317" s="824"/>
    </row>
    <row r="318" spans="1:44" s="15" customFormat="1" x14ac:dyDescent="0.25">
      <c r="A318" s="102"/>
      <c r="M318" s="16"/>
      <c r="V318" s="824"/>
      <c r="W318" s="824"/>
      <c r="X318" s="824"/>
      <c r="Y318" s="824"/>
      <c r="Z318" s="824"/>
      <c r="AA318" s="824"/>
      <c r="AB318" s="824"/>
      <c r="AC318" s="824"/>
      <c r="AD318" s="824"/>
      <c r="AE318" s="824"/>
      <c r="AF318" s="824"/>
      <c r="AG318" s="824"/>
      <c r="AH318" s="824"/>
      <c r="AI318" s="824"/>
      <c r="AJ318" s="824"/>
      <c r="AK318" s="824"/>
      <c r="AL318" s="824"/>
      <c r="AM318" s="824"/>
      <c r="AN318" s="824"/>
      <c r="AO318" s="824"/>
      <c r="AP318" s="824"/>
      <c r="AQ318" s="824"/>
      <c r="AR318" s="824"/>
    </row>
    <row r="319" spans="1:44" s="15" customFormat="1" x14ac:dyDescent="0.25">
      <c r="A319" s="102"/>
      <c r="M319" s="16"/>
      <c r="V319" s="824"/>
      <c r="W319" s="824"/>
      <c r="X319" s="824"/>
      <c r="Y319" s="824"/>
      <c r="Z319" s="824"/>
      <c r="AA319" s="824"/>
      <c r="AB319" s="824"/>
      <c r="AC319" s="824"/>
      <c r="AD319" s="824"/>
      <c r="AE319" s="824"/>
      <c r="AF319" s="824"/>
      <c r="AG319" s="824"/>
      <c r="AH319" s="824"/>
      <c r="AI319" s="824"/>
      <c r="AJ319" s="824"/>
      <c r="AK319" s="824"/>
      <c r="AL319" s="824"/>
      <c r="AM319" s="824"/>
      <c r="AN319" s="824"/>
      <c r="AO319" s="824"/>
      <c r="AP319" s="824"/>
      <c r="AQ319" s="824"/>
      <c r="AR319" s="824"/>
    </row>
    <row r="320" spans="1:44" s="15" customFormat="1" x14ac:dyDescent="0.25">
      <c r="A320" s="102"/>
      <c r="M320" s="16"/>
      <c r="V320" s="824"/>
      <c r="W320" s="824"/>
      <c r="X320" s="824"/>
      <c r="Y320" s="824"/>
      <c r="Z320" s="824"/>
      <c r="AA320" s="824"/>
      <c r="AB320" s="824"/>
      <c r="AC320" s="824"/>
      <c r="AD320" s="824"/>
      <c r="AE320" s="824"/>
      <c r="AF320" s="824"/>
      <c r="AG320" s="824"/>
      <c r="AH320" s="824"/>
      <c r="AI320" s="824"/>
      <c r="AJ320" s="824"/>
      <c r="AK320" s="824"/>
      <c r="AL320" s="824"/>
      <c r="AM320" s="824"/>
      <c r="AN320" s="824"/>
      <c r="AO320" s="824"/>
      <c r="AP320" s="824"/>
      <c r="AQ320" s="824"/>
      <c r="AR320" s="824"/>
    </row>
    <row r="321" spans="1:44" s="15" customFormat="1" x14ac:dyDescent="0.25">
      <c r="A321" s="102"/>
      <c r="M321" s="16"/>
      <c r="V321" s="824"/>
      <c r="W321" s="824"/>
      <c r="X321" s="824"/>
      <c r="Y321" s="824"/>
      <c r="Z321" s="824"/>
      <c r="AA321" s="824"/>
      <c r="AB321" s="824"/>
      <c r="AC321" s="824"/>
      <c r="AD321" s="824"/>
      <c r="AE321" s="824"/>
      <c r="AF321" s="824"/>
      <c r="AG321" s="824"/>
      <c r="AH321" s="824"/>
      <c r="AI321" s="824"/>
      <c r="AJ321" s="824"/>
      <c r="AK321" s="824"/>
      <c r="AL321" s="824"/>
      <c r="AM321" s="824"/>
      <c r="AN321" s="824"/>
      <c r="AO321" s="824"/>
      <c r="AP321" s="824"/>
      <c r="AQ321" s="824"/>
      <c r="AR321" s="824"/>
    </row>
    <row r="322" spans="1:44" s="15" customFormat="1" x14ac:dyDescent="0.25">
      <c r="A322" s="102"/>
      <c r="M322" s="16"/>
      <c r="V322" s="824"/>
      <c r="W322" s="824"/>
      <c r="X322" s="824"/>
      <c r="Y322" s="824"/>
      <c r="Z322" s="824"/>
      <c r="AA322" s="824"/>
      <c r="AB322" s="824"/>
      <c r="AC322" s="824"/>
      <c r="AD322" s="824"/>
      <c r="AE322" s="824"/>
      <c r="AF322" s="824"/>
      <c r="AG322" s="824"/>
      <c r="AH322" s="824"/>
      <c r="AI322" s="824"/>
      <c r="AJ322" s="824"/>
      <c r="AK322" s="824"/>
      <c r="AL322" s="824"/>
      <c r="AM322" s="824"/>
      <c r="AN322" s="824"/>
      <c r="AO322" s="824"/>
      <c r="AP322" s="824"/>
      <c r="AQ322" s="824"/>
      <c r="AR322" s="824"/>
    </row>
    <row r="323" spans="1:44" s="15" customFormat="1" x14ac:dyDescent="0.25">
      <c r="A323" s="102"/>
      <c r="M323" s="16"/>
      <c r="V323" s="824"/>
      <c r="W323" s="824"/>
      <c r="X323" s="824"/>
      <c r="Y323" s="824"/>
      <c r="Z323" s="824"/>
      <c r="AA323" s="824"/>
      <c r="AB323" s="824"/>
      <c r="AC323" s="824"/>
      <c r="AD323" s="824"/>
      <c r="AE323" s="824"/>
      <c r="AF323" s="824"/>
      <c r="AG323" s="824"/>
      <c r="AH323" s="824"/>
      <c r="AI323" s="824"/>
      <c r="AJ323" s="824"/>
      <c r="AK323" s="824"/>
      <c r="AL323" s="824"/>
      <c r="AM323" s="824"/>
      <c r="AN323" s="824"/>
      <c r="AO323" s="824"/>
      <c r="AP323" s="824"/>
      <c r="AQ323" s="824"/>
      <c r="AR323" s="824"/>
    </row>
    <row r="324" spans="1:44" s="15" customFormat="1" x14ac:dyDescent="0.25">
      <c r="A324" s="102"/>
      <c r="M324" s="16"/>
      <c r="V324" s="824"/>
      <c r="W324" s="824"/>
      <c r="X324" s="824"/>
      <c r="Y324" s="824"/>
      <c r="Z324" s="824"/>
      <c r="AA324" s="824"/>
      <c r="AB324" s="824"/>
      <c r="AC324" s="824"/>
      <c r="AD324" s="824"/>
      <c r="AE324" s="824"/>
      <c r="AF324" s="824"/>
      <c r="AG324" s="824"/>
      <c r="AH324" s="824"/>
      <c r="AI324" s="824"/>
      <c r="AJ324" s="824"/>
      <c r="AK324" s="824"/>
      <c r="AL324" s="824"/>
      <c r="AM324" s="824"/>
      <c r="AN324" s="824"/>
      <c r="AO324" s="824"/>
      <c r="AP324" s="824"/>
      <c r="AQ324" s="824"/>
      <c r="AR324" s="824"/>
    </row>
    <row r="325" spans="1:44" s="15" customFormat="1" x14ac:dyDescent="0.25">
      <c r="A325" s="102"/>
      <c r="M325" s="16"/>
      <c r="V325" s="824"/>
      <c r="W325" s="824"/>
      <c r="X325" s="824"/>
      <c r="Y325" s="824"/>
      <c r="Z325" s="824"/>
      <c r="AA325" s="824"/>
      <c r="AB325" s="824"/>
      <c r="AC325" s="824"/>
      <c r="AD325" s="824"/>
      <c r="AE325" s="824"/>
      <c r="AF325" s="824"/>
      <c r="AG325" s="824"/>
      <c r="AH325" s="824"/>
      <c r="AI325" s="824"/>
      <c r="AJ325" s="824"/>
      <c r="AK325" s="824"/>
      <c r="AL325" s="824"/>
      <c r="AM325" s="824"/>
      <c r="AN325" s="824"/>
      <c r="AO325" s="824"/>
      <c r="AP325" s="824"/>
      <c r="AQ325" s="824"/>
      <c r="AR325" s="824"/>
    </row>
    <row r="326" spans="1:44" s="15" customFormat="1" x14ac:dyDescent="0.25">
      <c r="A326" s="102"/>
      <c r="M326" s="16"/>
      <c r="V326" s="824"/>
      <c r="W326" s="824"/>
      <c r="X326" s="824"/>
      <c r="Y326" s="824"/>
      <c r="Z326" s="824"/>
      <c r="AA326" s="824"/>
      <c r="AB326" s="824"/>
      <c r="AC326" s="824"/>
      <c r="AD326" s="824"/>
      <c r="AE326" s="824"/>
      <c r="AF326" s="824"/>
      <c r="AG326" s="824"/>
      <c r="AH326" s="824"/>
      <c r="AI326" s="824"/>
      <c r="AJ326" s="824"/>
      <c r="AK326" s="824"/>
      <c r="AL326" s="824"/>
      <c r="AM326" s="824"/>
      <c r="AN326" s="824"/>
      <c r="AO326" s="824"/>
      <c r="AP326" s="824"/>
      <c r="AQ326" s="824"/>
      <c r="AR326" s="824"/>
    </row>
    <row r="327" spans="1:44" s="15" customFormat="1" x14ac:dyDescent="0.25">
      <c r="A327" s="102"/>
      <c r="M327" s="16"/>
      <c r="V327" s="824"/>
      <c r="W327" s="824"/>
      <c r="X327" s="824"/>
      <c r="Y327" s="824"/>
      <c r="Z327" s="824"/>
      <c r="AA327" s="824"/>
      <c r="AB327" s="824"/>
      <c r="AC327" s="824"/>
      <c r="AD327" s="824"/>
      <c r="AE327" s="824"/>
      <c r="AF327" s="824"/>
      <c r="AG327" s="824"/>
      <c r="AH327" s="824"/>
      <c r="AI327" s="824"/>
      <c r="AJ327" s="824"/>
      <c r="AK327" s="824"/>
      <c r="AL327" s="824"/>
      <c r="AM327" s="824"/>
      <c r="AN327" s="824"/>
      <c r="AO327" s="824"/>
      <c r="AP327" s="824"/>
      <c r="AQ327" s="824"/>
      <c r="AR327" s="824"/>
    </row>
    <row r="328" spans="1:44" s="15" customFormat="1" x14ac:dyDescent="0.25">
      <c r="A328" s="102"/>
      <c r="M328" s="16"/>
      <c r="V328" s="824"/>
      <c r="W328" s="824"/>
      <c r="X328" s="824"/>
      <c r="Y328" s="824"/>
      <c r="Z328" s="824"/>
      <c r="AA328" s="824"/>
      <c r="AB328" s="824"/>
      <c r="AC328" s="824"/>
      <c r="AD328" s="824"/>
      <c r="AE328" s="824"/>
      <c r="AF328" s="824"/>
      <c r="AG328" s="824"/>
      <c r="AH328" s="824"/>
      <c r="AI328" s="824"/>
      <c r="AJ328" s="824"/>
      <c r="AK328" s="824"/>
      <c r="AL328" s="824"/>
      <c r="AM328" s="824"/>
      <c r="AN328" s="824"/>
      <c r="AO328" s="824"/>
      <c r="AP328" s="824"/>
      <c r="AQ328" s="824"/>
      <c r="AR328" s="824"/>
    </row>
    <row r="329" spans="1:44" s="15" customFormat="1" x14ac:dyDescent="0.25">
      <c r="A329" s="102"/>
      <c r="M329" s="16"/>
      <c r="V329" s="824"/>
      <c r="W329" s="824"/>
      <c r="X329" s="824"/>
      <c r="Y329" s="824"/>
      <c r="Z329" s="824"/>
      <c r="AA329" s="824"/>
      <c r="AB329" s="824"/>
      <c r="AC329" s="824"/>
      <c r="AD329" s="824"/>
      <c r="AE329" s="824"/>
      <c r="AF329" s="824"/>
      <c r="AG329" s="824"/>
      <c r="AH329" s="824"/>
      <c r="AI329" s="824"/>
      <c r="AJ329" s="824"/>
      <c r="AK329" s="824"/>
      <c r="AL329" s="824"/>
      <c r="AM329" s="824"/>
      <c r="AN329" s="824"/>
      <c r="AO329" s="824"/>
      <c r="AP329" s="824"/>
      <c r="AQ329" s="824"/>
      <c r="AR329" s="824"/>
    </row>
    <row r="330" spans="1:44" s="15" customFormat="1" x14ac:dyDescent="0.25">
      <c r="A330" s="102"/>
      <c r="M330" s="16"/>
      <c r="V330" s="824"/>
      <c r="W330" s="824"/>
      <c r="X330" s="824"/>
      <c r="Y330" s="824"/>
      <c r="Z330" s="824"/>
      <c r="AA330" s="824"/>
      <c r="AB330" s="824"/>
      <c r="AC330" s="824"/>
      <c r="AD330" s="824"/>
      <c r="AE330" s="824"/>
      <c r="AF330" s="824"/>
      <c r="AG330" s="824"/>
      <c r="AH330" s="824"/>
      <c r="AI330" s="824"/>
      <c r="AJ330" s="824"/>
      <c r="AK330" s="824"/>
      <c r="AL330" s="824"/>
      <c r="AM330" s="824"/>
      <c r="AN330" s="824"/>
      <c r="AO330" s="824"/>
      <c r="AP330" s="824"/>
      <c r="AQ330" s="824"/>
      <c r="AR330" s="824"/>
    </row>
    <row r="331" spans="1:44" s="15" customFormat="1" x14ac:dyDescent="0.25">
      <c r="A331" s="102"/>
      <c r="M331" s="16"/>
      <c r="V331" s="824"/>
      <c r="W331" s="824"/>
      <c r="X331" s="824"/>
      <c r="Y331" s="824"/>
      <c r="Z331" s="824"/>
      <c r="AA331" s="824"/>
      <c r="AB331" s="824"/>
      <c r="AC331" s="824"/>
      <c r="AD331" s="824"/>
      <c r="AE331" s="824"/>
      <c r="AF331" s="824"/>
      <c r="AG331" s="824"/>
      <c r="AH331" s="824"/>
      <c r="AI331" s="824"/>
      <c r="AJ331" s="824"/>
      <c r="AK331" s="824"/>
      <c r="AL331" s="824"/>
      <c r="AM331" s="824"/>
      <c r="AN331" s="824"/>
      <c r="AO331" s="824"/>
      <c r="AP331" s="824"/>
      <c r="AQ331" s="824"/>
      <c r="AR331" s="824"/>
    </row>
    <row r="332" spans="1:44" s="15" customFormat="1" x14ac:dyDescent="0.25">
      <c r="A332" s="102"/>
      <c r="M332" s="16"/>
      <c r="V332" s="824"/>
      <c r="W332" s="824"/>
      <c r="X332" s="824"/>
      <c r="Y332" s="824"/>
      <c r="Z332" s="824"/>
      <c r="AA332" s="824"/>
      <c r="AB332" s="824"/>
      <c r="AC332" s="824"/>
      <c r="AD332" s="824"/>
      <c r="AE332" s="824"/>
      <c r="AF332" s="824"/>
      <c r="AG332" s="824"/>
      <c r="AH332" s="824"/>
      <c r="AI332" s="824"/>
      <c r="AJ332" s="824"/>
      <c r="AK332" s="824"/>
      <c r="AL332" s="824"/>
      <c r="AM332" s="824"/>
      <c r="AN332" s="824"/>
      <c r="AO332" s="824"/>
      <c r="AP332" s="824"/>
      <c r="AQ332" s="824"/>
      <c r="AR332" s="824"/>
    </row>
    <row r="333" spans="1:44" s="15" customFormat="1" x14ac:dyDescent="0.25">
      <c r="A333" s="102"/>
      <c r="M333" s="16"/>
      <c r="V333" s="824"/>
      <c r="W333" s="824"/>
      <c r="X333" s="824"/>
      <c r="Y333" s="824"/>
      <c r="Z333" s="824"/>
      <c r="AA333" s="824"/>
      <c r="AB333" s="824"/>
      <c r="AC333" s="824"/>
      <c r="AD333" s="824"/>
      <c r="AE333" s="824"/>
      <c r="AF333" s="824"/>
      <c r="AG333" s="824"/>
      <c r="AH333" s="824"/>
      <c r="AI333" s="824"/>
      <c r="AJ333" s="824"/>
      <c r="AK333" s="824"/>
      <c r="AL333" s="824"/>
      <c r="AM333" s="824"/>
      <c r="AN333" s="824"/>
      <c r="AO333" s="824"/>
      <c r="AP333" s="824"/>
      <c r="AQ333" s="824"/>
      <c r="AR333" s="824"/>
    </row>
    <row r="334" spans="1:44" s="15" customFormat="1" x14ac:dyDescent="0.25">
      <c r="A334" s="102"/>
      <c r="M334" s="16"/>
      <c r="V334" s="824"/>
      <c r="W334" s="824"/>
      <c r="X334" s="824"/>
      <c r="Y334" s="824"/>
      <c r="Z334" s="824"/>
      <c r="AA334" s="824"/>
      <c r="AB334" s="824"/>
      <c r="AC334" s="824"/>
      <c r="AD334" s="824"/>
      <c r="AE334" s="824"/>
      <c r="AF334" s="824"/>
      <c r="AG334" s="824"/>
      <c r="AH334" s="824"/>
      <c r="AI334" s="824"/>
      <c r="AJ334" s="824"/>
      <c r="AK334" s="824"/>
      <c r="AL334" s="824"/>
      <c r="AM334" s="824"/>
      <c r="AN334" s="824"/>
      <c r="AO334" s="824"/>
      <c r="AP334" s="824"/>
      <c r="AQ334" s="824"/>
      <c r="AR334" s="824"/>
    </row>
    <row r="335" spans="1:44" s="15" customFormat="1" x14ac:dyDescent="0.25">
      <c r="A335" s="102"/>
      <c r="M335" s="16"/>
      <c r="V335" s="824"/>
      <c r="W335" s="824"/>
      <c r="X335" s="824"/>
      <c r="Y335" s="824"/>
      <c r="Z335" s="824"/>
      <c r="AA335" s="824"/>
      <c r="AB335" s="824"/>
      <c r="AC335" s="824"/>
      <c r="AD335" s="824"/>
      <c r="AE335" s="824"/>
      <c r="AF335" s="824"/>
      <c r="AG335" s="824"/>
      <c r="AH335" s="824"/>
      <c r="AI335" s="824"/>
      <c r="AJ335" s="824"/>
      <c r="AK335" s="824"/>
      <c r="AL335" s="824"/>
      <c r="AM335" s="824"/>
      <c r="AN335" s="824"/>
      <c r="AO335" s="824"/>
      <c r="AP335" s="824"/>
      <c r="AQ335" s="824"/>
      <c r="AR335" s="824"/>
    </row>
    <row r="336" spans="1:44" s="15" customFormat="1" x14ac:dyDescent="0.25">
      <c r="A336" s="102"/>
      <c r="M336" s="16"/>
      <c r="V336" s="824"/>
      <c r="W336" s="824"/>
      <c r="X336" s="824"/>
      <c r="Y336" s="824"/>
      <c r="Z336" s="824"/>
      <c r="AA336" s="824"/>
      <c r="AB336" s="824"/>
      <c r="AC336" s="824"/>
      <c r="AD336" s="824"/>
      <c r="AE336" s="824"/>
      <c r="AF336" s="824"/>
      <c r="AG336" s="824"/>
      <c r="AH336" s="824"/>
      <c r="AI336" s="824"/>
      <c r="AJ336" s="824"/>
      <c r="AK336" s="824"/>
      <c r="AL336" s="824"/>
      <c r="AM336" s="824"/>
      <c r="AN336" s="824"/>
      <c r="AO336" s="824"/>
      <c r="AP336" s="824"/>
      <c r="AQ336" s="824"/>
      <c r="AR336" s="824"/>
    </row>
    <row r="337" spans="1:44" s="15" customFormat="1" x14ac:dyDescent="0.25">
      <c r="A337" s="102"/>
      <c r="M337" s="16"/>
      <c r="V337" s="824"/>
      <c r="W337" s="824"/>
      <c r="X337" s="824"/>
      <c r="Y337" s="824"/>
      <c r="Z337" s="824"/>
      <c r="AA337" s="824"/>
      <c r="AB337" s="824"/>
      <c r="AC337" s="824"/>
      <c r="AD337" s="824"/>
      <c r="AE337" s="824"/>
      <c r="AF337" s="824"/>
      <c r="AG337" s="824"/>
      <c r="AH337" s="824"/>
      <c r="AI337" s="824"/>
      <c r="AJ337" s="824"/>
      <c r="AK337" s="824"/>
      <c r="AL337" s="824"/>
      <c r="AM337" s="824"/>
      <c r="AN337" s="824"/>
      <c r="AO337" s="824"/>
      <c r="AP337" s="824"/>
      <c r="AQ337" s="824"/>
      <c r="AR337" s="824"/>
    </row>
    <row r="338" spans="1:44" s="15" customFormat="1" x14ac:dyDescent="0.25">
      <c r="A338" s="102"/>
      <c r="M338" s="16"/>
      <c r="V338" s="824"/>
      <c r="W338" s="824"/>
      <c r="X338" s="824"/>
      <c r="Y338" s="824"/>
      <c r="Z338" s="824"/>
      <c r="AA338" s="824"/>
      <c r="AB338" s="824"/>
      <c r="AC338" s="824"/>
      <c r="AD338" s="824"/>
      <c r="AE338" s="824"/>
      <c r="AF338" s="824"/>
      <c r="AG338" s="824"/>
      <c r="AH338" s="824"/>
      <c r="AI338" s="824"/>
      <c r="AJ338" s="824"/>
      <c r="AK338" s="824"/>
      <c r="AL338" s="824"/>
      <c r="AM338" s="824"/>
      <c r="AN338" s="824"/>
      <c r="AO338" s="824"/>
      <c r="AP338" s="824"/>
      <c r="AQ338" s="824"/>
      <c r="AR338" s="824"/>
    </row>
    <row r="339" spans="1:44" s="15" customFormat="1" x14ac:dyDescent="0.25">
      <c r="A339" s="102"/>
      <c r="M339" s="16"/>
      <c r="V339" s="824"/>
      <c r="W339" s="824"/>
      <c r="X339" s="824"/>
      <c r="Y339" s="824"/>
      <c r="Z339" s="824"/>
      <c r="AA339" s="824"/>
      <c r="AB339" s="824"/>
      <c r="AC339" s="824"/>
      <c r="AD339" s="824"/>
      <c r="AE339" s="824"/>
      <c r="AF339" s="824"/>
      <c r="AG339" s="824"/>
      <c r="AH339" s="824"/>
      <c r="AI339" s="824"/>
      <c r="AJ339" s="824"/>
      <c r="AK339" s="824"/>
      <c r="AL339" s="824"/>
      <c r="AM339" s="824"/>
      <c r="AN339" s="824"/>
      <c r="AO339" s="824"/>
      <c r="AP339" s="824"/>
      <c r="AQ339" s="824"/>
      <c r="AR339" s="824"/>
    </row>
    <row r="340" spans="1:44" s="15" customFormat="1" x14ac:dyDescent="0.25">
      <c r="A340" s="102"/>
      <c r="M340" s="16"/>
      <c r="V340" s="824"/>
      <c r="W340" s="824"/>
      <c r="X340" s="824"/>
      <c r="Y340" s="824"/>
      <c r="Z340" s="824"/>
      <c r="AA340" s="824"/>
      <c r="AB340" s="824"/>
      <c r="AC340" s="824"/>
      <c r="AD340" s="824"/>
      <c r="AE340" s="824"/>
      <c r="AF340" s="824"/>
      <c r="AG340" s="824"/>
      <c r="AH340" s="824"/>
      <c r="AI340" s="824"/>
      <c r="AJ340" s="824"/>
      <c r="AK340" s="824"/>
      <c r="AL340" s="824"/>
      <c r="AM340" s="824"/>
      <c r="AN340" s="824"/>
      <c r="AO340" s="824"/>
      <c r="AP340" s="824"/>
      <c r="AQ340" s="824"/>
      <c r="AR340" s="824"/>
    </row>
    <row r="341" spans="1:44" s="15" customFormat="1" x14ac:dyDescent="0.25">
      <c r="A341" s="102"/>
      <c r="M341" s="16"/>
      <c r="V341" s="824"/>
      <c r="W341" s="824"/>
      <c r="X341" s="824"/>
      <c r="Y341" s="824"/>
      <c r="Z341" s="824"/>
      <c r="AA341" s="824"/>
      <c r="AB341" s="824"/>
      <c r="AC341" s="824"/>
      <c r="AD341" s="824"/>
      <c r="AE341" s="824"/>
      <c r="AF341" s="824"/>
      <c r="AG341" s="824"/>
      <c r="AH341" s="824"/>
      <c r="AI341" s="824"/>
      <c r="AJ341" s="824"/>
      <c r="AK341" s="824"/>
      <c r="AL341" s="824"/>
      <c r="AM341" s="824"/>
      <c r="AN341" s="824"/>
      <c r="AO341" s="824"/>
      <c r="AP341" s="824"/>
      <c r="AQ341" s="824"/>
      <c r="AR341" s="824"/>
    </row>
    <row r="342" spans="1:44" s="15" customFormat="1" x14ac:dyDescent="0.25">
      <c r="A342" s="102"/>
      <c r="M342" s="16"/>
      <c r="V342" s="824"/>
      <c r="W342" s="824"/>
      <c r="X342" s="824"/>
      <c r="Y342" s="824"/>
      <c r="Z342" s="824"/>
      <c r="AA342" s="824"/>
      <c r="AB342" s="824"/>
      <c r="AC342" s="824"/>
      <c r="AD342" s="824"/>
      <c r="AE342" s="824"/>
      <c r="AF342" s="824"/>
      <c r="AG342" s="824"/>
      <c r="AH342" s="824"/>
      <c r="AI342" s="824"/>
      <c r="AJ342" s="824"/>
      <c r="AK342" s="824"/>
      <c r="AL342" s="824"/>
      <c r="AM342" s="824"/>
      <c r="AN342" s="824"/>
      <c r="AO342" s="824"/>
      <c r="AP342" s="824"/>
      <c r="AQ342" s="824"/>
      <c r="AR342" s="824"/>
    </row>
    <row r="343" spans="1:44" s="15" customFormat="1" x14ac:dyDescent="0.25">
      <c r="A343" s="102"/>
      <c r="M343" s="16"/>
      <c r="V343" s="824"/>
      <c r="W343" s="824"/>
      <c r="X343" s="824"/>
      <c r="Y343" s="824"/>
      <c r="Z343" s="824"/>
      <c r="AA343" s="824"/>
      <c r="AB343" s="824"/>
      <c r="AC343" s="824"/>
      <c r="AD343" s="824"/>
      <c r="AE343" s="824"/>
      <c r="AF343" s="824"/>
      <c r="AG343" s="824"/>
      <c r="AH343" s="824"/>
      <c r="AI343" s="824"/>
      <c r="AJ343" s="824"/>
      <c r="AK343" s="824"/>
      <c r="AL343" s="824"/>
      <c r="AM343" s="824"/>
      <c r="AN343" s="824"/>
      <c r="AO343" s="824"/>
      <c r="AP343" s="824"/>
      <c r="AQ343" s="824"/>
      <c r="AR343" s="824"/>
    </row>
    <row r="344" spans="1:44" s="15" customFormat="1" x14ac:dyDescent="0.25">
      <c r="A344" s="102"/>
      <c r="M344" s="16"/>
      <c r="V344" s="824"/>
      <c r="W344" s="824"/>
      <c r="X344" s="824"/>
      <c r="Y344" s="824"/>
      <c r="Z344" s="824"/>
      <c r="AA344" s="824"/>
      <c r="AB344" s="824"/>
      <c r="AC344" s="824"/>
      <c r="AD344" s="824"/>
      <c r="AE344" s="824"/>
      <c r="AF344" s="824"/>
      <c r="AG344" s="824"/>
      <c r="AH344" s="824"/>
      <c r="AI344" s="824"/>
      <c r="AJ344" s="824"/>
      <c r="AK344" s="824"/>
      <c r="AL344" s="824"/>
      <c r="AM344" s="824"/>
      <c r="AN344" s="824"/>
      <c r="AO344" s="824"/>
      <c r="AP344" s="824"/>
      <c r="AQ344" s="824"/>
      <c r="AR344" s="824"/>
    </row>
    <row r="345" spans="1:44" s="15" customFormat="1" x14ac:dyDescent="0.25">
      <c r="A345" s="102"/>
      <c r="M345" s="16"/>
      <c r="V345" s="824"/>
      <c r="W345" s="824"/>
      <c r="X345" s="824"/>
      <c r="Y345" s="824"/>
      <c r="Z345" s="824"/>
      <c r="AA345" s="824"/>
      <c r="AB345" s="824"/>
      <c r="AC345" s="824"/>
      <c r="AD345" s="824"/>
      <c r="AE345" s="824"/>
      <c r="AF345" s="824"/>
      <c r="AG345" s="824"/>
      <c r="AH345" s="824"/>
      <c r="AI345" s="824"/>
      <c r="AJ345" s="824"/>
      <c r="AK345" s="824"/>
      <c r="AL345" s="824"/>
      <c r="AM345" s="824"/>
      <c r="AN345" s="824"/>
      <c r="AO345" s="824"/>
      <c r="AP345" s="824"/>
      <c r="AQ345" s="824"/>
      <c r="AR345" s="824"/>
    </row>
    <row r="346" spans="1:44" s="15" customFormat="1" x14ac:dyDescent="0.25">
      <c r="A346" s="102"/>
      <c r="M346" s="16"/>
      <c r="V346" s="824"/>
      <c r="W346" s="824"/>
      <c r="X346" s="824"/>
      <c r="Y346" s="824"/>
      <c r="Z346" s="824"/>
      <c r="AA346" s="824"/>
      <c r="AB346" s="824"/>
      <c r="AC346" s="824"/>
      <c r="AD346" s="824"/>
      <c r="AE346" s="824"/>
      <c r="AF346" s="824"/>
      <c r="AG346" s="824"/>
      <c r="AH346" s="824"/>
      <c r="AI346" s="824"/>
      <c r="AJ346" s="824"/>
      <c r="AK346" s="824"/>
      <c r="AL346" s="824"/>
      <c r="AM346" s="824"/>
      <c r="AN346" s="824"/>
      <c r="AO346" s="824"/>
      <c r="AP346" s="824"/>
      <c r="AQ346" s="824"/>
      <c r="AR346" s="824"/>
    </row>
    <row r="347" spans="1:44" s="15" customFormat="1" x14ac:dyDescent="0.25">
      <c r="A347" s="102"/>
      <c r="M347" s="16"/>
      <c r="V347" s="824"/>
      <c r="W347" s="824"/>
      <c r="X347" s="824"/>
      <c r="Y347" s="824"/>
      <c r="Z347" s="824"/>
      <c r="AA347" s="824"/>
      <c r="AB347" s="824"/>
      <c r="AC347" s="824"/>
      <c r="AD347" s="824"/>
      <c r="AE347" s="824"/>
      <c r="AF347" s="824"/>
      <c r="AG347" s="824"/>
      <c r="AH347" s="824"/>
      <c r="AI347" s="824"/>
      <c r="AJ347" s="824"/>
      <c r="AK347" s="824"/>
      <c r="AL347" s="824"/>
      <c r="AM347" s="824"/>
      <c r="AN347" s="824"/>
      <c r="AO347" s="824"/>
      <c r="AP347" s="824"/>
      <c r="AQ347" s="824"/>
      <c r="AR347" s="824"/>
    </row>
    <row r="348" spans="1:44" s="15" customFormat="1" x14ac:dyDescent="0.25">
      <c r="A348" s="102"/>
      <c r="M348" s="16"/>
      <c r="V348" s="824"/>
      <c r="W348" s="824"/>
      <c r="X348" s="824"/>
      <c r="Y348" s="824"/>
      <c r="Z348" s="824"/>
      <c r="AA348" s="824"/>
      <c r="AB348" s="824"/>
      <c r="AC348" s="824"/>
      <c r="AD348" s="824"/>
      <c r="AE348" s="824"/>
      <c r="AF348" s="824"/>
      <c r="AG348" s="824"/>
      <c r="AH348" s="824"/>
      <c r="AI348" s="824"/>
      <c r="AJ348" s="824"/>
      <c r="AK348" s="824"/>
      <c r="AL348" s="824"/>
      <c r="AM348" s="824"/>
      <c r="AN348" s="824"/>
      <c r="AO348" s="824"/>
      <c r="AP348" s="824"/>
      <c r="AQ348" s="824"/>
      <c r="AR348" s="824"/>
    </row>
    <row r="349" spans="1:44" s="15" customFormat="1" x14ac:dyDescent="0.25">
      <c r="A349" s="102"/>
      <c r="M349" s="16"/>
      <c r="V349" s="824"/>
      <c r="W349" s="824"/>
      <c r="X349" s="824"/>
      <c r="Y349" s="824"/>
      <c r="Z349" s="824"/>
      <c r="AA349" s="824"/>
      <c r="AB349" s="824"/>
      <c r="AC349" s="824"/>
      <c r="AD349" s="824"/>
      <c r="AE349" s="824"/>
      <c r="AF349" s="824"/>
      <c r="AG349" s="824"/>
      <c r="AH349" s="824"/>
      <c r="AI349" s="824"/>
      <c r="AJ349" s="824"/>
      <c r="AK349" s="824"/>
      <c r="AL349" s="824"/>
      <c r="AM349" s="824"/>
      <c r="AN349" s="824"/>
      <c r="AO349" s="824"/>
      <c r="AP349" s="824"/>
      <c r="AQ349" s="824"/>
      <c r="AR349" s="824"/>
    </row>
    <row r="350" spans="1:44" s="15" customFormat="1" x14ac:dyDescent="0.25">
      <c r="A350" s="102"/>
      <c r="M350" s="16"/>
      <c r="V350" s="824"/>
      <c r="W350" s="824"/>
      <c r="X350" s="824"/>
      <c r="Y350" s="824"/>
      <c r="Z350" s="824"/>
      <c r="AA350" s="824"/>
      <c r="AB350" s="824"/>
      <c r="AC350" s="824"/>
      <c r="AD350" s="824"/>
      <c r="AE350" s="824"/>
      <c r="AF350" s="824"/>
      <c r="AG350" s="824"/>
      <c r="AH350" s="824"/>
      <c r="AI350" s="824"/>
      <c r="AJ350" s="824"/>
      <c r="AK350" s="824"/>
      <c r="AL350" s="824"/>
      <c r="AM350" s="824"/>
      <c r="AN350" s="824"/>
      <c r="AO350" s="824"/>
      <c r="AP350" s="824"/>
      <c r="AQ350" s="824"/>
      <c r="AR350" s="824"/>
    </row>
    <row r="351" spans="1:44" s="15" customFormat="1" x14ac:dyDescent="0.25">
      <c r="A351" s="102"/>
      <c r="M351" s="16"/>
      <c r="V351" s="824"/>
      <c r="W351" s="824"/>
      <c r="X351" s="824"/>
      <c r="Y351" s="824"/>
      <c r="Z351" s="824"/>
      <c r="AA351" s="824"/>
      <c r="AB351" s="824"/>
      <c r="AC351" s="824"/>
      <c r="AD351" s="824"/>
      <c r="AE351" s="824"/>
      <c r="AF351" s="824"/>
      <c r="AG351" s="824"/>
      <c r="AH351" s="824"/>
      <c r="AI351" s="824"/>
      <c r="AJ351" s="824"/>
      <c r="AK351" s="824"/>
      <c r="AL351" s="824"/>
      <c r="AM351" s="824"/>
      <c r="AN351" s="824"/>
      <c r="AO351" s="824"/>
      <c r="AP351" s="824"/>
      <c r="AQ351" s="824"/>
      <c r="AR351" s="824"/>
    </row>
    <row r="352" spans="1:44" s="15" customFormat="1" x14ac:dyDescent="0.25">
      <c r="A352" s="102"/>
      <c r="M352" s="16"/>
      <c r="V352" s="824"/>
      <c r="W352" s="824"/>
      <c r="X352" s="824"/>
      <c r="Y352" s="824"/>
      <c r="Z352" s="824"/>
      <c r="AA352" s="824"/>
      <c r="AB352" s="824"/>
      <c r="AC352" s="824"/>
      <c r="AD352" s="824"/>
      <c r="AE352" s="824"/>
      <c r="AF352" s="824"/>
      <c r="AG352" s="824"/>
      <c r="AH352" s="824"/>
      <c r="AI352" s="824"/>
      <c r="AJ352" s="824"/>
      <c r="AK352" s="824"/>
      <c r="AL352" s="824"/>
      <c r="AM352" s="824"/>
      <c r="AN352" s="824"/>
      <c r="AO352" s="824"/>
      <c r="AP352" s="824"/>
      <c r="AQ352" s="824"/>
      <c r="AR352" s="824"/>
    </row>
    <row r="353" spans="1:44" s="15" customFormat="1" x14ac:dyDescent="0.25">
      <c r="A353" s="102"/>
      <c r="M353" s="16"/>
      <c r="V353" s="824"/>
      <c r="W353" s="824"/>
      <c r="X353" s="824"/>
      <c r="Y353" s="824"/>
      <c r="Z353" s="824"/>
      <c r="AA353" s="824"/>
      <c r="AB353" s="824"/>
      <c r="AC353" s="824"/>
      <c r="AD353" s="824"/>
      <c r="AE353" s="824"/>
      <c r="AF353" s="824"/>
      <c r="AG353" s="824"/>
      <c r="AH353" s="824"/>
      <c r="AI353" s="824"/>
      <c r="AJ353" s="824"/>
      <c r="AK353" s="824"/>
      <c r="AL353" s="824"/>
      <c r="AM353" s="824"/>
      <c r="AN353" s="824"/>
      <c r="AO353" s="824"/>
      <c r="AP353" s="824"/>
      <c r="AQ353" s="824"/>
      <c r="AR353" s="824"/>
    </row>
    <row r="354" spans="1:44" s="15" customFormat="1" x14ac:dyDescent="0.25">
      <c r="A354" s="102"/>
      <c r="M354" s="16"/>
      <c r="V354" s="824"/>
      <c r="W354" s="824"/>
      <c r="X354" s="824"/>
      <c r="Y354" s="824"/>
      <c r="Z354" s="824"/>
      <c r="AA354" s="824"/>
      <c r="AB354" s="824"/>
      <c r="AC354" s="824"/>
      <c r="AD354" s="824"/>
      <c r="AE354" s="824"/>
      <c r="AF354" s="824"/>
      <c r="AG354" s="824"/>
      <c r="AH354" s="824"/>
      <c r="AI354" s="824"/>
      <c r="AJ354" s="824"/>
      <c r="AK354" s="824"/>
      <c r="AL354" s="824"/>
      <c r="AM354" s="824"/>
      <c r="AN354" s="824"/>
      <c r="AO354" s="824"/>
      <c r="AP354" s="824"/>
      <c r="AQ354" s="824"/>
      <c r="AR354" s="824"/>
    </row>
    <row r="355" spans="1:44" s="15" customFormat="1" x14ac:dyDescent="0.25">
      <c r="A355" s="102"/>
      <c r="M355" s="16"/>
      <c r="V355" s="824"/>
      <c r="W355" s="824"/>
      <c r="X355" s="824"/>
      <c r="Y355" s="824"/>
      <c r="Z355" s="824"/>
      <c r="AA355" s="824"/>
      <c r="AB355" s="824"/>
      <c r="AC355" s="824"/>
      <c r="AD355" s="824"/>
      <c r="AE355" s="824"/>
      <c r="AF355" s="824"/>
      <c r="AG355" s="824"/>
      <c r="AH355" s="824"/>
      <c r="AI355" s="824"/>
      <c r="AJ355" s="824"/>
      <c r="AK355" s="824"/>
      <c r="AL355" s="824"/>
      <c r="AM355" s="824"/>
      <c r="AN355" s="824"/>
      <c r="AO355" s="824"/>
      <c r="AP355" s="824"/>
      <c r="AQ355" s="824"/>
      <c r="AR355" s="824"/>
    </row>
    <row r="356" spans="1:44" s="15" customFormat="1" x14ac:dyDescent="0.25">
      <c r="A356" s="102"/>
      <c r="M356" s="16"/>
      <c r="V356" s="824"/>
      <c r="W356" s="824"/>
      <c r="X356" s="824"/>
      <c r="Y356" s="824"/>
      <c r="Z356" s="824"/>
      <c r="AA356" s="824"/>
      <c r="AB356" s="824"/>
      <c r="AC356" s="824"/>
      <c r="AD356" s="824"/>
      <c r="AE356" s="824"/>
      <c r="AF356" s="824"/>
      <c r="AG356" s="824"/>
      <c r="AH356" s="824"/>
      <c r="AI356" s="824"/>
      <c r="AJ356" s="824"/>
      <c r="AK356" s="824"/>
      <c r="AL356" s="824"/>
      <c r="AM356" s="824"/>
      <c r="AN356" s="824"/>
      <c r="AO356" s="824"/>
      <c r="AP356" s="824"/>
      <c r="AQ356" s="824"/>
      <c r="AR356" s="824"/>
    </row>
    <row r="357" spans="1:44" s="15" customFormat="1" x14ac:dyDescent="0.25">
      <c r="A357" s="102"/>
      <c r="M357" s="16"/>
      <c r="V357" s="824"/>
      <c r="W357" s="824"/>
      <c r="X357" s="824"/>
      <c r="Y357" s="824"/>
      <c r="Z357" s="824"/>
      <c r="AA357" s="824"/>
      <c r="AB357" s="824"/>
      <c r="AC357" s="824"/>
      <c r="AD357" s="824"/>
      <c r="AE357" s="824"/>
      <c r="AF357" s="824"/>
      <c r="AG357" s="824"/>
      <c r="AH357" s="824"/>
      <c r="AI357" s="824"/>
      <c r="AJ357" s="824"/>
      <c r="AK357" s="824"/>
      <c r="AL357" s="824"/>
      <c r="AM357" s="824"/>
      <c r="AN357" s="824"/>
      <c r="AO357" s="824"/>
      <c r="AP357" s="824"/>
      <c r="AQ357" s="824"/>
      <c r="AR357" s="824"/>
    </row>
    <row r="358" spans="1:44" s="15" customFormat="1" x14ac:dyDescent="0.25">
      <c r="A358" s="102"/>
      <c r="M358" s="16"/>
      <c r="V358" s="824"/>
      <c r="W358" s="824"/>
      <c r="X358" s="824"/>
      <c r="Y358" s="824"/>
      <c r="Z358" s="824"/>
      <c r="AA358" s="824"/>
      <c r="AB358" s="824"/>
      <c r="AC358" s="824"/>
      <c r="AD358" s="824"/>
      <c r="AE358" s="824"/>
      <c r="AF358" s="824"/>
      <c r="AG358" s="824"/>
      <c r="AH358" s="824"/>
      <c r="AI358" s="824"/>
      <c r="AJ358" s="824"/>
      <c r="AK358" s="824"/>
      <c r="AL358" s="824"/>
      <c r="AM358" s="824"/>
      <c r="AN358" s="824"/>
      <c r="AO358" s="824"/>
      <c r="AP358" s="824"/>
      <c r="AQ358" s="824"/>
      <c r="AR358" s="824"/>
    </row>
    <row r="359" spans="1:44" s="15" customFormat="1" x14ac:dyDescent="0.25">
      <c r="A359" s="102"/>
      <c r="M359" s="16"/>
      <c r="V359" s="824"/>
      <c r="W359" s="824"/>
      <c r="X359" s="824"/>
      <c r="Y359" s="824"/>
      <c r="Z359" s="824"/>
      <c r="AA359" s="824"/>
      <c r="AB359" s="824"/>
      <c r="AC359" s="824"/>
      <c r="AD359" s="824"/>
      <c r="AE359" s="824"/>
      <c r="AF359" s="824"/>
      <c r="AG359" s="824"/>
      <c r="AH359" s="824"/>
      <c r="AI359" s="824"/>
      <c r="AJ359" s="824"/>
      <c r="AK359" s="824"/>
      <c r="AL359" s="824"/>
      <c r="AM359" s="824"/>
      <c r="AN359" s="824"/>
      <c r="AO359" s="824"/>
      <c r="AP359" s="824"/>
      <c r="AQ359" s="824"/>
      <c r="AR359" s="824"/>
    </row>
    <row r="360" spans="1:44" s="15" customFormat="1" x14ac:dyDescent="0.25">
      <c r="A360" s="102"/>
      <c r="M360" s="16"/>
      <c r="V360" s="824"/>
      <c r="W360" s="824"/>
      <c r="X360" s="824"/>
      <c r="Y360" s="824"/>
      <c r="Z360" s="824"/>
      <c r="AA360" s="824"/>
      <c r="AB360" s="824"/>
      <c r="AC360" s="824"/>
      <c r="AD360" s="824"/>
      <c r="AE360" s="824"/>
      <c r="AF360" s="824"/>
      <c r="AG360" s="824"/>
      <c r="AH360" s="824"/>
      <c r="AI360" s="824"/>
      <c r="AJ360" s="824"/>
      <c r="AK360" s="824"/>
      <c r="AL360" s="824"/>
      <c r="AM360" s="824"/>
      <c r="AN360" s="824"/>
      <c r="AO360" s="824"/>
      <c r="AP360" s="824"/>
      <c r="AQ360" s="824"/>
      <c r="AR360" s="824"/>
    </row>
    <row r="361" spans="1:44" s="15" customFormat="1" x14ac:dyDescent="0.25">
      <c r="A361" s="102"/>
      <c r="M361" s="16"/>
      <c r="V361" s="824"/>
      <c r="W361" s="824"/>
      <c r="X361" s="824"/>
      <c r="Y361" s="824"/>
      <c r="Z361" s="824"/>
      <c r="AA361" s="824"/>
      <c r="AB361" s="824"/>
      <c r="AC361" s="824"/>
      <c r="AD361" s="824"/>
      <c r="AE361" s="824"/>
      <c r="AF361" s="824"/>
      <c r="AG361" s="824"/>
      <c r="AH361" s="824"/>
      <c r="AI361" s="824"/>
      <c r="AJ361" s="824"/>
      <c r="AK361" s="824"/>
      <c r="AL361" s="824"/>
      <c r="AM361" s="824"/>
      <c r="AN361" s="824"/>
      <c r="AO361" s="824"/>
      <c r="AP361" s="824"/>
      <c r="AQ361" s="824"/>
      <c r="AR361" s="824"/>
    </row>
    <row r="362" spans="1:44" s="15" customFormat="1" x14ac:dyDescent="0.25">
      <c r="A362" s="102"/>
      <c r="M362" s="16"/>
      <c r="V362" s="824"/>
      <c r="W362" s="824"/>
      <c r="X362" s="824"/>
      <c r="Y362" s="824"/>
      <c r="Z362" s="824"/>
      <c r="AA362" s="824"/>
      <c r="AB362" s="824"/>
      <c r="AC362" s="824"/>
      <c r="AD362" s="824"/>
      <c r="AE362" s="824"/>
      <c r="AF362" s="824"/>
      <c r="AG362" s="824"/>
      <c r="AH362" s="824"/>
      <c r="AI362" s="824"/>
      <c r="AJ362" s="824"/>
      <c r="AK362" s="824"/>
      <c r="AL362" s="824"/>
      <c r="AM362" s="824"/>
      <c r="AN362" s="824"/>
      <c r="AO362" s="824"/>
      <c r="AP362" s="824"/>
      <c r="AQ362" s="824"/>
      <c r="AR362" s="824"/>
    </row>
    <row r="363" spans="1:44" s="15" customFormat="1" x14ac:dyDescent="0.25">
      <c r="A363" s="102"/>
      <c r="M363" s="16"/>
      <c r="V363" s="824"/>
      <c r="W363" s="824"/>
      <c r="X363" s="824"/>
      <c r="Y363" s="824"/>
      <c r="Z363" s="824"/>
      <c r="AA363" s="824"/>
      <c r="AB363" s="824"/>
      <c r="AC363" s="824"/>
      <c r="AD363" s="824"/>
      <c r="AE363" s="824"/>
      <c r="AF363" s="824"/>
      <c r="AG363" s="824"/>
      <c r="AH363" s="824"/>
      <c r="AI363" s="824"/>
      <c r="AJ363" s="824"/>
      <c r="AK363" s="824"/>
      <c r="AL363" s="824"/>
      <c r="AM363" s="824"/>
      <c r="AN363" s="824"/>
      <c r="AO363" s="824"/>
      <c r="AP363" s="824"/>
      <c r="AQ363" s="824"/>
      <c r="AR363" s="824"/>
    </row>
    <row r="364" spans="1:44" s="15" customFormat="1" x14ac:dyDescent="0.25">
      <c r="A364" s="102"/>
      <c r="M364" s="16"/>
      <c r="V364" s="824"/>
      <c r="W364" s="824"/>
      <c r="X364" s="824"/>
      <c r="Y364" s="824"/>
      <c r="Z364" s="824"/>
      <c r="AA364" s="824"/>
      <c r="AB364" s="824"/>
      <c r="AC364" s="824"/>
      <c r="AD364" s="824"/>
      <c r="AE364" s="824"/>
      <c r="AF364" s="824"/>
      <c r="AG364" s="824"/>
      <c r="AH364" s="824"/>
      <c r="AI364" s="824"/>
      <c r="AJ364" s="824"/>
      <c r="AK364" s="824"/>
      <c r="AL364" s="824"/>
      <c r="AM364" s="824"/>
      <c r="AN364" s="824"/>
      <c r="AO364" s="824"/>
      <c r="AP364" s="824"/>
      <c r="AQ364" s="824"/>
      <c r="AR364" s="824"/>
    </row>
    <row r="365" spans="1:44" s="15" customFormat="1" x14ac:dyDescent="0.25">
      <c r="A365" s="102"/>
      <c r="M365" s="16"/>
      <c r="V365" s="824"/>
      <c r="W365" s="824"/>
      <c r="X365" s="824"/>
      <c r="Y365" s="824"/>
      <c r="Z365" s="824"/>
      <c r="AA365" s="824"/>
      <c r="AB365" s="824"/>
      <c r="AC365" s="824"/>
      <c r="AD365" s="824"/>
      <c r="AE365" s="824"/>
      <c r="AF365" s="824"/>
      <c r="AG365" s="824"/>
      <c r="AH365" s="824"/>
      <c r="AI365" s="824"/>
      <c r="AJ365" s="824"/>
      <c r="AK365" s="824"/>
      <c r="AL365" s="824"/>
      <c r="AM365" s="824"/>
      <c r="AN365" s="824"/>
      <c r="AO365" s="824"/>
      <c r="AP365" s="824"/>
      <c r="AQ365" s="824"/>
      <c r="AR365" s="824"/>
    </row>
    <row r="366" spans="1:44" s="15" customFormat="1" x14ac:dyDescent="0.25">
      <c r="A366" s="102"/>
      <c r="M366" s="16"/>
      <c r="V366" s="824"/>
      <c r="W366" s="824"/>
      <c r="X366" s="824"/>
      <c r="Y366" s="824"/>
      <c r="Z366" s="824"/>
      <c r="AA366" s="824"/>
      <c r="AB366" s="824"/>
      <c r="AC366" s="824"/>
      <c r="AD366" s="824"/>
      <c r="AE366" s="824"/>
      <c r="AF366" s="824"/>
      <c r="AG366" s="824"/>
      <c r="AH366" s="824"/>
      <c r="AI366" s="824"/>
      <c r="AJ366" s="824"/>
      <c r="AK366" s="824"/>
      <c r="AL366" s="824"/>
      <c r="AM366" s="824"/>
      <c r="AN366" s="824"/>
      <c r="AO366" s="824"/>
      <c r="AP366" s="824"/>
      <c r="AQ366" s="824"/>
      <c r="AR366" s="824"/>
    </row>
    <row r="367" spans="1:44" s="15" customFormat="1" x14ac:dyDescent="0.25">
      <c r="A367" s="102"/>
      <c r="M367" s="16"/>
      <c r="V367" s="824"/>
      <c r="W367" s="824"/>
      <c r="X367" s="824"/>
      <c r="Y367" s="824"/>
      <c r="Z367" s="824"/>
      <c r="AA367" s="824"/>
      <c r="AB367" s="824"/>
      <c r="AC367" s="824"/>
      <c r="AD367" s="824"/>
      <c r="AE367" s="824"/>
      <c r="AF367" s="824"/>
      <c r="AG367" s="824"/>
      <c r="AH367" s="824"/>
      <c r="AI367" s="824"/>
      <c r="AJ367" s="824"/>
      <c r="AK367" s="824"/>
      <c r="AL367" s="824"/>
      <c r="AM367" s="824"/>
      <c r="AN367" s="824"/>
      <c r="AO367" s="824"/>
      <c r="AP367" s="824"/>
      <c r="AQ367" s="824"/>
      <c r="AR367" s="824"/>
    </row>
    <row r="368" spans="1:44" s="15" customFormat="1" x14ac:dyDescent="0.25">
      <c r="A368" s="102"/>
      <c r="M368" s="16"/>
      <c r="V368" s="824"/>
      <c r="W368" s="824"/>
      <c r="X368" s="824"/>
      <c r="Y368" s="824"/>
      <c r="Z368" s="824"/>
      <c r="AA368" s="824"/>
      <c r="AB368" s="824"/>
      <c r="AC368" s="824"/>
      <c r="AD368" s="824"/>
      <c r="AE368" s="824"/>
      <c r="AF368" s="824"/>
      <c r="AG368" s="824"/>
      <c r="AH368" s="824"/>
      <c r="AI368" s="824"/>
      <c r="AJ368" s="824"/>
      <c r="AK368" s="824"/>
      <c r="AL368" s="824"/>
      <c r="AM368" s="824"/>
      <c r="AN368" s="824"/>
      <c r="AO368" s="824"/>
      <c r="AP368" s="824"/>
      <c r="AQ368" s="824"/>
      <c r="AR368" s="824"/>
    </row>
    <row r="369" spans="1:44" s="15" customFormat="1" x14ac:dyDescent="0.25">
      <c r="A369" s="102"/>
      <c r="M369" s="16"/>
      <c r="V369" s="824"/>
      <c r="W369" s="824"/>
      <c r="X369" s="824"/>
      <c r="Y369" s="824"/>
      <c r="Z369" s="824"/>
      <c r="AA369" s="824"/>
      <c r="AB369" s="824"/>
      <c r="AC369" s="824"/>
      <c r="AD369" s="824"/>
      <c r="AE369" s="824"/>
      <c r="AF369" s="824"/>
      <c r="AG369" s="824"/>
      <c r="AH369" s="824"/>
      <c r="AI369" s="824"/>
      <c r="AJ369" s="824"/>
      <c r="AK369" s="824"/>
      <c r="AL369" s="824"/>
      <c r="AM369" s="824"/>
      <c r="AN369" s="824"/>
      <c r="AO369" s="824"/>
      <c r="AP369" s="824"/>
      <c r="AQ369" s="824"/>
      <c r="AR369" s="824"/>
    </row>
    <row r="370" spans="1:44" s="15" customFormat="1" x14ac:dyDescent="0.25">
      <c r="A370" s="102"/>
      <c r="M370" s="16"/>
      <c r="V370" s="824"/>
      <c r="W370" s="824"/>
      <c r="X370" s="824"/>
      <c r="Y370" s="824"/>
      <c r="Z370" s="824"/>
      <c r="AA370" s="824"/>
      <c r="AB370" s="824"/>
      <c r="AC370" s="824"/>
      <c r="AD370" s="824"/>
      <c r="AE370" s="824"/>
      <c r="AF370" s="824"/>
      <c r="AG370" s="824"/>
      <c r="AH370" s="824"/>
      <c r="AI370" s="824"/>
      <c r="AJ370" s="824"/>
      <c r="AK370" s="824"/>
      <c r="AL370" s="824"/>
      <c r="AM370" s="824"/>
      <c r="AN370" s="824"/>
      <c r="AO370" s="824"/>
      <c r="AP370" s="824"/>
      <c r="AQ370" s="824"/>
      <c r="AR370" s="824"/>
    </row>
    <row r="371" spans="1:44" s="15" customFormat="1" x14ac:dyDescent="0.25">
      <c r="A371" s="102"/>
      <c r="M371" s="16"/>
      <c r="V371" s="824"/>
      <c r="W371" s="824"/>
      <c r="X371" s="824"/>
      <c r="Y371" s="824"/>
      <c r="Z371" s="824"/>
      <c r="AA371" s="824"/>
      <c r="AB371" s="824"/>
      <c r="AC371" s="824"/>
      <c r="AD371" s="824"/>
      <c r="AE371" s="824"/>
      <c r="AF371" s="824"/>
      <c r="AG371" s="824"/>
      <c r="AH371" s="824"/>
      <c r="AI371" s="824"/>
      <c r="AJ371" s="824"/>
      <c r="AK371" s="824"/>
      <c r="AL371" s="824"/>
      <c r="AM371" s="824"/>
      <c r="AN371" s="824"/>
      <c r="AO371" s="824"/>
      <c r="AP371" s="824"/>
      <c r="AQ371" s="824"/>
      <c r="AR371" s="824"/>
    </row>
    <row r="372" spans="1:44" s="15" customFormat="1" x14ac:dyDescent="0.25">
      <c r="A372" s="102"/>
      <c r="M372" s="16"/>
      <c r="V372" s="824"/>
      <c r="W372" s="824"/>
      <c r="X372" s="824"/>
      <c r="Y372" s="824"/>
      <c r="Z372" s="824"/>
      <c r="AA372" s="824"/>
      <c r="AB372" s="824"/>
      <c r="AC372" s="824"/>
      <c r="AD372" s="824"/>
      <c r="AE372" s="824"/>
      <c r="AF372" s="824"/>
      <c r="AG372" s="824"/>
      <c r="AH372" s="824"/>
      <c r="AI372" s="824"/>
      <c r="AJ372" s="824"/>
      <c r="AK372" s="824"/>
      <c r="AL372" s="824"/>
      <c r="AM372" s="824"/>
      <c r="AN372" s="824"/>
      <c r="AO372" s="824"/>
      <c r="AP372" s="824"/>
      <c r="AQ372" s="824"/>
      <c r="AR372" s="824"/>
    </row>
    <row r="373" spans="1:44" s="15" customFormat="1" x14ac:dyDescent="0.25">
      <c r="A373" s="102"/>
      <c r="M373" s="16"/>
      <c r="V373" s="824"/>
      <c r="W373" s="824"/>
      <c r="X373" s="824"/>
      <c r="Y373" s="824"/>
      <c r="Z373" s="824"/>
      <c r="AA373" s="824"/>
      <c r="AB373" s="824"/>
      <c r="AC373" s="824"/>
      <c r="AD373" s="824"/>
      <c r="AE373" s="824"/>
      <c r="AF373" s="824"/>
      <c r="AG373" s="824"/>
      <c r="AH373" s="824"/>
      <c r="AI373" s="824"/>
      <c r="AJ373" s="824"/>
      <c r="AK373" s="824"/>
      <c r="AL373" s="824"/>
      <c r="AM373" s="824"/>
      <c r="AN373" s="824"/>
      <c r="AO373" s="824"/>
      <c r="AP373" s="824"/>
      <c r="AQ373" s="824"/>
      <c r="AR373" s="824"/>
    </row>
    <row r="374" spans="1:44" s="15" customFormat="1" x14ac:dyDescent="0.25">
      <c r="A374" s="102"/>
      <c r="M374" s="16"/>
      <c r="V374" s="824"/>
      <c r="W374" s="824"/>
      <c r="X374" s="824"/>
      <c r="Y374" s="824"/>
      <c r="Z374" s="824"/>
      <c r="AA374" s="824"/>
      <c r="AB374" s="824"/>
      <c r="AC374" s="824"/>
      <c r="AD374" s="824"/>
      <c r="AE374" s="824"/>
      <c r="AF374" s="824"/>
      <c r="AG374" s="824"/>
      <c r="AH374" s="824"/>
      <c r="AI374" s="824"/>
      <c r="AJ374" s="824"/>
      <c r="AK374" s="824"/>
      <c r="AL374" s="824"/>
      <c r="AM374" s="824"/>
      <c r="AN374" s="824"/>
      <c r="AO374" s="824"/>
      <c r="AP374" s="824"/>
      <c r="AQ374" s="824"/>
      <c r="AR374" s="824"/>
    </row>
    <row r="375" spans="1:44" s="15" customFormat="1" x14ac:dyDescent="0.25">
      <c r="A375" s="102"/>
      <c r="M375" s="16"/>
      <c r="V375" s="824"/>
      <c r="W375" s="824"/>
      <c r="X375" s="824"/>
      <c r="Y375" s="824"/>
      <c r="Z375" s="824"/>
      <c r="AA375" s="824"/>
      <c r="AB375" s="824"/>
      <c r="AC375" s="824"/>
      <c r="AD375" s="824"/>
      <c r="AE375" s="824"/>
      <c r="AF375" s="824"/>
      <c r="AG375" s="824"/>
      <c r="AH375" s="824"/>
      <c r="AI375" s="824"/>
      <c r="AJ375" s="824"/>
      <c r="AK375" s="824"/>
      <c r="AL375" s="824"/>
      <c r="AM375" s="824"/>
      <c r="AN375" s="824"/>
      <c r="AO375" s="824"/>
      <c r="AP375" s="824"/>
      <c r="AQ375" s="824"/>
      <c r="AR375" s="824"/>
    </row>
    <row r="376" spans="1:44" s="15" customFormat="1" x14ac:dyDescent="0.25">
      <c r="A376" s="102"/>
      <c r="M376" s="16"/>
      <c r="V376" s="824"/>
      <c r="W376" s="824"/>
      <c r="X376" s="824"/>
      <c r="Y376" s="824"/>
      <c r="Z376" s="824"/>
      <c r="AA376" s="824"/>
      <c r="AB376" s="824"/>
      <c r="AC376" s="824"/>
      <c r="AD376" s="824"/>
      <c r="AE376" s="824"/>
      <c r="AF376" s="824"/>
      <c r="AG376" s="824"/>
      <c r="AH376" s="824"/>
      <c r="AI376" s="824"/>
      <c r="AJ376" s="824"/>
      <c r="AK376" s="824"/>
      <c r="AL376" s="824"/>
      <c r="AM376" s="824"/>
      <c r="AN376" s="824"/>
      <c r="AO376" s="824"/>
      <c r="AP376" s="824"/>
      <c r="AQ376" s="824"/>
      <c r="AR376" s="824"/>
    </row>
    <row r="377" spans="1:44" s="15" customFormat="1" x14ac:dyDescent="0.25">
      <c r="A377" s="102"/>
      <c r="M377" s="16"/>
      <c r="V377" s="824"/>
      <c r="W377" s="824"/>
      <c r="X377" s="824"/>
      <c r="Y377" s="824"/>
      <c r="Z377" s="824"/>
      <c r="AA377" s="824"/>
      <c r="AB377" s="824"/>
      <c r="AC377" s="824"/>
      <c r="AD377" s="824"/>
      <c r="AE377" s="824"/>
      <c r="AF377" s="824"/>
      <c r="AG377" s="824"/>
      <c r="AH377" s="824"/>
      <c r="AI377" s="824"/>
      <c r="AJ377" s="824"/>
      <c r="AK377" s="824"/>
      <c r="AL377" s="824"/>
      <c r="AM377" s="824"/>
      <c r="AN377" s="824"/>
      <c r="AO377" s="824"/>
      <c r="AP377" s="824"/>
      <c r="AQ377" s="824"/>
      <c r="AR377" s="824"/>
    </row>
    <row r="378" spans="1:44" s="15" customFormat="1" x14ac:dyDescent="0.25">
      <c r="A378" s="102"/>
      <c r="M378" s="16"/>
      <c r="V378" s="824"/>
      <c r="W378" s="824"/>
      <c r="X378" s="824"/>
      <c r="Y378" s="824"/>
      <c r="Z378" s="824"/>
      <c r="AA378" s="824"/>
      <c r="AB378" s="824"/>
      <c r="AC378" s="824"/>
      <c r="AD378" s="824"/>
      <c r="AE378" s="824"/>
      <c r="AF378" s="824"/>
      <c r="AG378" s="824"/>
      <c r="AH378" s="824"/>
      <c r="AI378" s="824"/>
      <c r="AJ378" s="824"/>
      <c r="AK378" s="824"/>
      <c r="AL378" s="824"/>
      <c r="AM378" s="824"/>
      <c r="AN378" s="824"/>
      <c r="AO378" s="824"/>
      <c r="AP378" s="824"/>
      <c r="AQ378" s="824"/>
      <c r="AR378" s="824"/>
    </row>
    <row r="379" spans="1:44" s="15" customFormat="1" x14ac:dyDescent="0.25">
      <c r="A379" s="102"/>
      <c r="M379" s="16"/>
      <c r="V379" s="824"/>
      <c r="W379" s="824"/>
      <c r="X379" s="824"/>
      <c r="Y379" s="824"/>
      <c r="Z379" s="824"/>
      <c r="AA379" s="824"/>
      <c r="AB379" s="824"/>
      <c r="AC379" s="824"/>
      <c r="AD379" s="824"/>
      <c r="AE379" s="824"/>
      <c r="AF379" s="824"/>
      <c r="AG379" s="824"/>
      <c r="AH379" s="824"/>
      <c r="AI379" s="824"/>
      <c r="AJ379" s="824"/>
      <c r="AK379" s="824"/>
      <c r="AL379" s="824"/>
      <c r="AM379" s="824"/>
      <c r="AN379" s="824"/>
      <c r="AO379" s="824"/>
      <c r="AP379" s="824"/>
      <c r="AQ379" s="824"/>
      <c r="AR379" s="824"/>
    </row>
    <row r="380" spans="1:44" s="15" customFormat="1" x14ac:dyDescent="0.25">
      <c r="A380" s="102"/>
      <c r="M380" s="16"/>
      <c r="V380" s="824"/>
      <c r="W380" s="824"/>
      <c r="X380" s="824"/>
      <c r="Y380" s="824"/>
      <c r="Z380" s="824"/>
      <c r="AA380" s="824"/>
      <c r="AB380" s="824"/>
      <c r="AC380" s="824"/>
      <c r="AD380" s="824"/>
      <c r="AE380" s="824"/>
      <c r="AF380" s="824"/>
      <c r="AG380" s="824"/>
      <c r="AH380" s="824"/>
      <c r="AI380" s="824"/>
      <c r="AJ380" s="824"/>
      <c r="AK380" s="824"/>
      <c r="AL380" s="824"/>
      <c r="AM380" s="824"/>
      <c r="AN380" s="824"/>
      <c r="AO380" s="824"/>
      <c r="AP380" s="824"/>
      <c r="AQ380" s="824"/>
      <c r="AR380" s="824"/>
    </row>
    <row r="381" spans="1:44" s="15" customFormat="1" x14ac:dyDescent="0.25">
      <c r="A381" s="102"/>
      <c r="M381" s="16"/>
      <c r="V381" s="824"/>
      <c r="W381" s="824"/>
      <c r="X381" s="824"/>
      <c r="Y381" s="824"/>
      <c r="Z381" s="824"/>
      <c r="AA381" s="824"/>
      <c r="AB381" s="824"/>
      <c r="AC381" s="824"/>
      <c r="AD381" s="824"/>
      <c r="AE381" s="824"/>
      <c r="AF381" s="824"/>
      <c r="AG381" s="824"/>
      <c r="AH381" s="824"/>
      <c r="AI381" s="824"/>
      <c r="AJ381" s="824"/>
      <c r="AK381" s="824"/>
      <c r="AL381" s="824"/>
      <c r="AM381" s="824"/>
      <c r="AN381" s="824"/>
      <c r="AO381" s="824"/>
      <c r="AP381" s="824"/>
      <c r="AQ381" s="824"/>
      <c r="AR381" s="824"/>
    </row>
    <row r="382" spans="1:44" s="15" customFormat="1" x14ac:dyDescent="0.25">
      <c r="A382" s="102"/>
      <c r="M382" s="16"/>
      <c r="V382" s="824"/>
      <c r="W382" s="824"/>
      <c r="X382" s="824"/>
      <c r="Y382" s="824"/>
      <c r="Z382" s="824"/>
      <c r="AA382" s="824"/>
      <c r="AB382" s="824"/>
      <c r="AC382" s="824"/>
      <c r="AD382" s="824"/>
      <c r="AE382" s="824"/>
      <c r="AF382" s="824"/>
      <c r="AG382" s="824"/>
      <c r="AH382" s="824"/>
      <c r="AI382" s="824"/>
      <c r="AJ382" s="824"/>
      <c r="AK382" s="824"/>
      <c r="AL382" s="824"/>
      <c r="AM382" s="824"/>
      <c r="AN382" s="824"/>
      <c r="AO382" s="824"/>
      <c r="AP382" s="824"/>
      <c r="AQ382" s="824"/>
      <c r="AR382" s="824"/>
    </row>
    <row r="383" spans="1:44" s="15" customFormat="1" x14ac:dyDescent="0.25">
      <c r="A383" s="102"/>
      <c r="M383" s="16"/>
      <c r="V383" s="824"/>
      <c r="W383" s="824"/>
      <c r="X383" s="824"/>
      <c r="Y383" s="824"/>
      <c r="Z383" s="824"/>
      <c r="AA383" s="824"/>
      <c r="AB383" s="824"/>
      <c r="AC383" s="824"/>
      <c r="AD383" s="824"/>
      <c r="AE383" s="824"/>
      <c r="AF383" s="824"/>
      <c r="AG383" s="824"/>
      <c r="AH383" s="824"/>
      <c r="AI383" s="824"/>
      <c r="AJ383" s="824"/>
      <c r="AK383" s="824"/>
      <c r="AL383" s="824"/>
      <c r="AM383" s="824"/>
      <c r="AN383" s="824"/>
      <c r="AO383" s="824"/>
      <c r="AP383" s="824"/>
      <c r="AQ383" s="824"/>
      <c r="AR383" s="824"/>
    </row>
    <row r="384" spans="1:44" s="15" customFormat="1" x14ac:dyDescent="0.25">
      <c r="A384" s="102"/>
      <c r="M384" s="16"/>
      <c r="V384" s="824"/>
      <c r="W384" s="824"/>
      <c r="X384" s="824"/>
      <c r="Y384" s="824"/>
      <c r="Z384" s="824"/>
      <c r="AA384" s="824"/>
      <c r="AB384" s="824"/>
      <c r="AC384" s="824"/>
      <c r="AD384" s="824"/>
      <c r="AE384" s="824"/>
      <c r="AF384" s="824"/>
      <c r="AG384" s="824"/>
      <c r="AH384" s="824"/>
      <c r="AI384" s="824"/>
      <c r="AJ384" s="824"/>
      <c r="AK384" s="824"/>
      <c r="AL384" s="824"/>
      <c r="AM384" s="824"/>
      <c r="AN384" s="824"/>
      <c r="AO384" s="824"/>
      <c r="AP384" s="824"/>
      <c r="AQ384" s="824"/>
      <c r="AR384" s="824"/>
    </row>
    <row r="385" spans="1:44" s="15" customFormat="1" x14ac:dyDescent="0.25">
      <c r="A385" s="102"/>
      <c r="M385" s="16"/>
      <c r="V385" s="824"/>
      <c r="W385" s="824"/>
      <c r="X385" s="824"/>
      <c r="Y385" s="824"/>
      <c r="Z385" s="824"/>
      <c r="AA385" s="824"/>
      <c r="AB385" s="824"/>
      <c r="AC385" s="824"/>
      <c r="AD385" s="824"/>
      <c r="AE385" s="824"/>
      <c r="AF385" s="824"/>
      <c r="AG385" s="824"/>
      <c r="AH385" s="824"/>
      <c r="AI385" s="824"/>
      <c r="AJ385" s="824"/>
      <c r="AK385" s="824"/>
      <c r="AL385" s="824"/>
      <c r="AM385" s="824"/>
      <c r="AN385" s="824"/>
      <c r="AO385" s="824"/>
      <c r="AP385" s="824"/>
      <c r="AQ385" s="824"/>
      <c r="AR385" s="824"/>
    </row>
    <row r="386" spans="1:44" s="15" customFormat="1" x14ac:dyDescent="0.25">
      <c r="A386" s="102"/>
      <c r="M386" s="16"/>
      <c r="V386" s="824"/>
      <c r="W386" s="824"/>
      <c r="X386" s="824"/>
      <c r="Y386" s="824"/>
      <c r="Z386" s="824"/>
      <c r="AA386" s="824"/>
      <c r="AB386" s="824"/>
      <c r="AC386" s="824"/>
      <c r="AD386" s="824"/>
      <c r="AE386" s="824"/>
      <c r="AF386" s="824"/>
      <c r="AG386" s="824"/>
      <c r="AH386" s="824"/>
      <c r="AI386" s="824"/>
      <c r="AJ386" s="824"/>
      <c r="AK386" s="824"/>
      <c r="AL386" s="824"/>
      <c r="AM386" s="824"/>
      <c r="AN386" s="824"/>
      <c r="AO386" s="824"/>
      <c r="AP386" s="824"/>
      <c r="AQ386" s="824"/>
      <c r="AR386" s="824"/>
    </row>
    <row r="387" spans="1:44" s="15" customFormat="1" x14ac:dyDescent="0.25">
      <c r="A387" s="102"/>
      <c r="M387" s="16"/>
      <c r="V387" s="824"/>
      <c r="W387" s="824"/>
      <c r="X387" s="824"/>
      <c r="Y387" s="824"/>
      <c r="Z387" s="824"/>
      <c r="AA387" s="824"/>
      <c r="AB387" s="824"/>
      <c r="AC387" s="824"/>
      <c r="AD387" s="824"/>
      <c r="AE387" s="824"/>
      <c r="AF387" s="824"/>
      <c r="AG387" s="824"/>
      <c r="AH387" s="824"/>
      <c r="AI387" s="824"/>
      <c r="AJ387" s="824"/>
      <c r="AK387" s="824"/>
      <c r="AL387" s="824"/>
      <c r="AM387" s="824"/>
      <c r="AN387" s="824"/>
      <c r="AO387" s="824"/>
      <c r="AP387" s="824"/>
      <c r="AQ387" s="824"/>
      <c r="AR387" s="824"/>
    </row>
    <row r="388" spans="1:44" s="15" customFormat="1" x14ac:dyDescent="0.25">
      <c r="A388" s="102"/>
      <c r="M388" s="16"/>
      <c r="V388" s="824"/>
      <c r="W388" s="824"/>
      <c r="X388" s="824"/>
      <c r="Y388" s="824"/>
      <c r="Z388" s="824"/>
      <c r="AA388" s="824"/>
      <c r="AB388" s="824"/>
      <c r="AC388" s="824"/>
      <c r="AD388" s="824"/>
      <c r="AE388" s="824"/>
      <c r="AF388" s="824"/>
      <c r="AG388" s="824"/>
      <c r="AH388" s="824"/>
      <c r="AI388" s="824"/>
      <c r="AJ388" s="824"/>
      <c r="AK388" s="824"/>
      <c r="AL388" s="824"/>
      <c r="AM388" s="824"/>
      <c r="AN388" s="824"/>
      <c r="AO388" s="824"/>
      <c r="AP388" s="824"/>
      <c r="AQ388" s="824"/>
      <c r="AR388" s="824"/>
    </row>
    <row r="389" spans="1:44" s="15" customFormat="1" x14ac:dyDescent="0.25">
      <c r="A389" s="102"/>
      <c r="M389" s="16"/>
      <c r="V389" s="824"/>
      <c r="W389" s="824"/>
      <c r="X389" s="824"/>
      <c r="Y389" s="824"/>
      <c r="Z389" s="824"/>
      <c r="AA389" s="824"/>
      <c r="AB389" s="824"/>
      <c r="AC389" s="824"/>
      <c r="AD389" s="824"/>
      <c r="AE389" s="824"/>
      <c r="AF389" s="824"/>
      <c r="AG389" s="824"/>
      <c r="AH389" s="824"/>
      <c r="AI389" s="824"/>
      <c r="AJ389" s="824"/>
      <c r="AK389" s="824"/>
      <c r="AL389" s="824"/>
      <c r="AM389" s="824"/>
      <c r="AN389" s="824"/>
      <c r="AO389" s="824"/>
      <c r="AP389" s="824"/>
      <c r="AQ389" s="824"/>
      <c r="AR389" s="824"/>
    </row>
    <row r="390" spans="1:44" s="15" customFormat="1" x14ac:dyDescent="0.25">
      <c r="A390" s="102"/>
      <c r="M390" s="16"/>
      <c r="V390" s="824"/>
      <c r="W390" s="824"/>
      <c r="X390" s="824"/>
      <c r="Y390" s="824"/>
      <c r="Z390" s="824"/>
      <c r="AA390" s="824"/>
      <c r="AB390" s="824"/>
      <c r="AC390" s="824"/>
      <c r="AD390" s="824"/>
      <c r="AE390" s="824"/>
      <c r="AF390" s="824"/>
      <c r="AG390" s="824"/>
      <c r="AH390" s="824"/>
      <c r="AI390" s="824"/>
      <c r="AJ390" s="824"/>
      <c r="AK390" s="824"/>
      <c r="AL390" s="824"/>
      <c r="AM390" s="824"/>
      <c r="AN390" s="824"/>
      <c r="AO390" s="824"/>
      <c r="AP390" s="824"/>
      <c r="AQ390" s="824"/>
      <c r="AR390" s="824"/>
    </row>
    <row r="391" spans="1:44" s="15" customFormat="1" x14ac:dyDescent="0.25">
      <c r="A391" s="102"/>
      <c r="M391" s="16"/>
      <c r="V391" s="824"/>
      <c r="W391" s="824"/>
      <c r="X391" s="824"/>
      <c r="Y391" s="824"/>
      <c r="Z391" s="824"/>
      <c r="AA391" s="824"/>
      <c r="AB391" s="824"/>
      <c r="AC391" s="824"/>
      <c r="AD391" s="824"/>
      <c r="AE391" s="824"/>
      <c r="AF391" s="824"/>
      <c r="AG391" s="824"/>
      <c r="AH391" s="824"/>
      <c r="AI391" s="824"/>
      <c r="AJ391" s="824"/>
      <c r="AK391" s="824"/>
      <c r="AL391" s="824"/>
      <c r="AM391" s="824"/>
      <c r="AN391" s="824"/>
      <c r="AO391" s="824"/>
      <c r="AP391" s="824"/>
      <c r="AQ391" s="824"/>
      <c r="AR391" s="824"/>
    </row>
    <row r="392" spans="1:44" s="15" customFormat="1" x14ac:dyDescent="0.25">
      <c r="A392" s="102"/>
      <c r="M392" s="16"/>
      <c r="V392" s="824"/>
      <c r="W392" s="824"/>
      <c r="X392" s="824"/>
      <c r="Y392" s="824"/>
      <c r="Z392" s="824"/>
      <c r="AA392" s="824"/>
      <c r="AB392" s="824"/>
      <c r="AC392" s="824"/>
      <c r="AD392" s="824"/>
      <c r="AE392" s="824"/>
      <c r="AF392" s="824"/>
      <c r="AG392" s="824"/>
      <c r="AH392" s="824"/>
      <c r="AI392" s="824"/>
      <c r="AJ392" s="824"/>
      <c r="AK392" s="824"/>
      <c r="AL392" s="824"/>
      <c r="AM392" s="824"/>
      <c r="AN392" s="824"/>
      <c r="AO392" s="824"/>
      <c r="AP392" s="824"/>
      <c r="AQ392" s="824"/>
      <c r="AR392" s="824"/>
    </row>
    <row r="393" spans="1:44" s="15" customFormat="1" x14ac:dyDescent="0.25">
      <c r="A393" s="102"/>
      <c r="M393" s="16"/>
      <c r="V393" s="824"/>
      <c r="W393" s="824"/>
      <c r="X393" s="824"/>
      <c r="Y393" s="824"/>
      <c r="Z393" s="824"/>
      <c r="AA393" s="824"/>
      <c r="AB393" s="824"/>
      <c r="AC393" s="824"/>
      <c r="AD393" s="824"/>
      <c r="AE393" s="824"/>
      <c r="AF393" s="824"/>
      <c r="AG393" s="824"/>
      <c r="AH393" s="824"/>
      <c r="AI393" s="824"/>
      <c r="AJ393" s="824"/>
      <c r="AK393" s="824"/>
      <c r="AL393" s="824"/>
      <c r="AM393" s="824"/>
      <c r="AN393" s="824"/>
      <c r="AO393" s="824"/>
      <c r="AP393" s="824"/>
      <c r="AQ393" s="824"/>
      <c r="AR393" s="824"/>
    </row>
    <row r="394" spans="1:44" s="15" customFormat="1" x14ac:dyDescent="0.25">
      <c r="A394" s="102"/>
      <c r="M394" s="16"/>
      <c r="V394" s="824"/>
      <c r="W394" s="824"/>
      <c r="X394" s="824"/>
      <c r="Y394" s="824"/>
      <c r="Z394" s="824"/>
      <c r="AA394" s="824"/>
      <c r="AB394" s="824"/>
      <c r="AC394" s="824"/>
      <c r="AD394" s="824"/>
      <c r="AE394" s="824"/>
      <c r="AF394" s="824"/>
      <c r="AG394" s="824"/>
      <c r="AH394" s="824"/>
      <c r="AI394" s="824"/>
      <c r="AJ394" s="824"/>
      <c r="AK394" s="824"/>
      <c r="AL394" s="824"/>
      <c r="AM394" s="824"/>
      <c r="AN394" s="824"/>
      <c r="AO394" s="824"/>
      <c r="AP394" s="824"/>
      <c r="AQ394" s="824"/>
      <c r="AR394" s="824"/>
    </row>
    <row r="395" spans="1:44" s="15" customFormat="1" x14ac:dyDescent="0.25">
      <c r="A395" s="102"/>
      <c r="M395" s="16"/>
      <c r="V395" s="824"/>
      <c r="W395" s="824"/>
      <c r="X395" s="824"/>
      <c r="Y395" s="824"/>
      <c r="Z395" s="824"/>
      <c r="AA395" s="824"/>
      <c r="AB395" s="824"/>
      <c r="AC395" s="824"/>
      <c r="AD395" s="824"/>
      <c r="AE395" s="824"/>
      <c r="AF395" s="824"/>
      <c r="AG395" s="824"/>
      <c r="AH395" s="824"/>
      <c r="AI395" s="824"/>
      <c r="AJ395" s="824"/>
      <c r="AK395" s="824"/>
      <c r="AL395" s="824"/>
      <c r="AM395" s="824"/>
      <c r="AN395" s="824"/>
      <c r="AO395" s="824"/>
      <c r="AP395" s="824"/>
      <c r="AQ395" s="824"/>
      <c r="AR395" s="824"/>
    </row>
    <row r="396" spans="1:44" s="15" customFormat="1" x14ac:dyDescent="0.25">
      <c r="A396" s="102"/>
      <c r="M396" s="16"/>
      <c r="V396" s="824"/>
      <c r="W396" s="824"/>
      <c r="X396" s="824"/>
      <c r="Y396" s="824"/>
      <c r="Z396" s="824"/>
      <c r="AA396" s="824"/>
      <c r="AB396" s="824"/>
      <c r="AC396" s="824"/>
      <c r="AD396" s="824"/>
      <c r="AE396" s="824"/>
      <c r="AF396" s="824"/>
      <c r="AG396" s="824"/>
      <c r="AH396" s="824"/>
      <c r="AI396" s="824"/>
      <c r="AJ396" s="824"/>
      <c r="AK396" s="824"/>
      <c r="AL396" s="824"/>
      <c r="AM396" s="824"/>
      <c r="AN396" s="824"/>
      <c r="AO396" s="824"/>
      <c r="AP396" s="824"/>
      <c r="AQ396" s="824"/>
      <c r="AR396" s="824"/>
    </row>
    <row r="397" spans="1:44" s="15" customFormat="1" x14ac:dyDescent="0.25">
      <c r="A397" s="102"/>
      <c r="M397" s="16"/>
      <c r="V397" s="824"/>
      <c r="W397" s="824"/>
      <c r="X397" s="824"/>
      <c r="Y397" s="824"/>
      <c r="Z397" s="824"/>
      <c r="AA397" s="824"/>
      <c r="AB397" s="824"/>
      <c r="AC397" s="824"/>
      <c r="AD397" s="824"/>
      <c r="AE397" s="824"/>
      <c r="AF397" s="824"/>
      <c r="AG397" s="824"/>
      <c r="AH397" s="824"/>
      <c r="AI397" s="824"/>
      <c r="AJ397" s="824"/>
      <c r="AK397" s="824"/>
      <c r="AL397" s="824"/>
      <c r="AM397" s="824"/>
      <c r="AN397" s="824"/>
      <c r="AO397" s="824"/>
      <c r="AP397" s="824"/>
      <c r="AQ397" s="824"/>
      <c r="AR397" s="824"/>
    </row>
    <row r="398" spans="1:44" s="15" customFormat="1" x14ac:dyDescent="0.25">
      <c r="A398" s="102"/>
      <c r="M398" s="16"/>
      <c r="V398" s="824"/>
      <c r="W398" s="824"/>
      <c r="X398" s="824"/>
      <c r="Y398" s="824"/>
      <c r="Z398" s="824"/>
      <c r="AA398" s="824"/>
      <c r="AB398" s="824"/>
      <c r="AC398" s="824"/>
      <c r="AD398" s="824"/>
      <c r="AE398" s="824"/>
      <c r="AF398" s="824"/>
      <c r="AG398" s="824"/>
      <c r="AH398" s="824"/>
      <c r="AI398" s="824"/>
      <c r="AJ398" s="824"/>
      <c r="AK398" s="824"/>
      <c r="AL398" s="824"/>
      <c r="AM398" s="824"/>
      <c r="AN398" s="824"/>
      <c r="AO398" s="824"/>
      <c r="AP398" s="824"/>
      <c r="AQ398" s="824"/>
      <c r="AR398" s="824"/>
    </row>
    <row r="399" spans="1:44" s="15" customFormat="1" x14ac:dyDescent="0.25">
      <c r="A399" s="102"/>
      <c r="M399" s="16"/>
      <c r="V399" s="824"/>
      <c r="W399" s="824"/>
      <c r="X399" s="824"/>
      <c r="Y399" s="824"/>
      <c r="Z399" s="824"/>
      <c r="AA399" s="824"/>
      <c r="AB399" s="824"/>
      <c r="AC399" s="824"/>
      <c r="AD399" s="824"/>
      <c r="AE399" s="824"/>
      <c r="AF399" s="824"/>
      <c r="AG399" s="824"/>
      <c r="AH399" s="824"/>
      <c r="AI399" s="824"/>
      <c r="AJ399" s="824"/>
      <c r="AK399" s="824"/>
      <c r="AL399" s="824"/>
      <c r="AM399" s="824"/>
      <c r="AN399" s="824"/>
      <c r="AO399" s="824"/>
      <c r="AP399" s="824"/>
      <c r="AQ399" s="824"/>
      <c r="AR399" s="824"/>
    </row>
    <row r="400" spans="1:44" s="15" customFormat="1" x14ac:dyDescent="0.25">
      <c r="A400" s="102"/>
      <c r="M400" s="16"/>
      <c r="V400" s="824"/>
      <c r="W400" s="824"/>
      <c r="X400" s="824"/>
      <c r="Y400" s="824"/>
      <c r="Z400" s="824"/>
      <c r="AA400" s="824"/>
      <c r="AB400" s="824"/>
      <c r="AC400" s="824"/>
      <c r="AD400" s="824"/>
      <c r="AE400" s="824"/>
      <c r="AF400" s="824"/>
      <c r="AG400" s="824"/>
      <c r="AH400" s="824"/>
      <c r="AI400" s="824"/>
      <c r="AJ400" s="824"/>
      <c r="AK400" s="824"/>
      <c r="AL400" s="824"/>
      <c r="AM400" s="824"/>
      <c r="AN400" s="824"/>
      <c r="AO400" s="824"/>
      <c r="AP400" s="824"/>
      <c r="AQ400" s="824"/>
      <c r="AR400" s="824"/>
    </row>
    <row r="401" spans="1:44" s="15" customFormat="1" x14ac:dyDescent="0.25">
      <c r="A401" s="102"/>
      <c r="M401" s="16"/>
      <c r="V401" s="824"/>
      <c r="W401" s="824"/>
      <c r="X401" s="824"/>
      <c r="Y401" s="824"/>
      <c r="Z401" s="824"/>
      <c r="AA401" s="824"/>
      <c r="AB401" s="824"/>
      <c r="AC401" s="824"/>
      <c r="AD401" s="824"/>
      <c r="AE401" s="824"/>
      <c r="AF401" s="824"/>
      <c r="AG401" s="824"/>
      <c r="AH401" s="824"/>
      <c r="AI401" s="824"/>
      <c r="AJ401" s="824"/>
      <c r="AK401" s="824"/>
      <c r="AL401" s="824"/>
      <c r="AM401" s="824"/>
      <c r="AN401" s="824"/>
      <c r="AO401" s="824"/>
      <c r="AP401" s="824"/>
      <c r="AQ401" s="824"/>
      <c r="AR401" s="824"/>
    </row>
    <row r="402" spans="1:44" s="15" customFormat="1" x14ac:dyDescent="0.25">
      <c r="A402" s="102"/>
      <c r="M402" s="16"/>
      <c r="V402" s="824"/>
      <c r="W402" s="824"/>
      <c r="X402" s="824"/>
      <c r="Y402" s="824"/>
      <c r="Z402" s="824"/>
      <c r="AA402" s="824"/>
      <c r="AB402" s="824"/>
      <c r="AC402" s="824"/>
      <c r="AD402" s="824"/>
      <c r="AE402" s="824"/>
      <c r="AF402" s="824"/>
      <c r="AG402" s="824"/>
      <c r="AH402" s="824"/>
      <c r="AI402" s="824"/>
      <c r="AJ402" s="824"/>
      <c r="AK402" s="824"/>
      <c r="AL402" s="824"/>
      <c r="AM402" s="824"/>
      <c r="AN402" s="824"/>
      <c r="AO402" s="824"/>
      <c r="AP402" s="824"/>
      <c r="AQ402" s="824"/>
      <c r="AR402" s="824"/>
    </row>
    <row r="403" spans="1:44" s="15" customFormat="1" x14ac:dyDescent="0.25">
      <c r="A403" s="102"/>
      <c r="M403" s="16"/>
      <c r="V403" s="824"/>
      <c r="W403" s="824"/>
      <c r="X403" s="824"/>
      <c r="Y403" s="824"/>
      <c r="Z403" s="824"/>
      <c r="AA403" s="824"/>
      <c r="AB403" s="824"/>
      <c r="AC403" s="824"/>
      <c r="AD403" s="824"/>
      <c r="AE403" s="824"/>
      <c r="AF403" s="824"/>
      <c r="AG403" s="824"/>
      <c r="AH403" s="824"/>
      <c r="AI403" s="824"/>
      <c r="AJ403" s="824"/>
      <c r="AK403" s="824"/>
      <c r="AL403" s="824"/>
      <c r="AM403" s="824"/>
      <c r="AN403" s="824"/>
      <c r="AO403" s="824"/>
      <c r="AP403" s="824"/>
      <c r="AQ403" s="824"/>
      <c r="AR403" s="824"/>
    </row>
    <row r="404" spans="1:44" s="15" customFormat="1" x14ac:dyDescent="0.25">
      <c r="A404" s="102"/>
      <c r="M404" s="16"/>
      <c r="V404" s="824"/>
      <c r="W404" s="824"/>
      <c r="X404" s="824"/>
      <c r="Y404" s="824"/>
      <c r="Z404" s="824"/>
      <c r="AA404" s="824"/>
      <c r="AB404" s="824"/>
      <c r="AC404" s="824"/>
      <c r="AD404" s="824"/>
      <c r="AE404" s="824"/>
      <c r="AF404" s="824"/>
      <c r="AG404" s="824"/>
      <c r="AH404" s="824"/>
      <c r="AI404" s="824"/>
      <c r="AJ404" s="824"/>
      <c r="AK404" s="824"/>
      <c r="AL404" s="824"/>
      <c r="AM404" s="824"/>
      <c r="AN404" s="824"/>
      <c r="AO404" s="824"/>
      <c r="AP404" s="824"/>
      <c r="AQ404" s="824"/>
      <c r="AR404" s="824"/>
    </row>
    <row r="405" spans="1:44" s="15" customFormat="1" x14ac:dyDescent="0.25">
      <c r="A405" s="102"/>
      <c r="M405" s="16"/>
      <c r="V405" s="824"/>
      <c r="W405" s="824"/>
      <c r="X405" s="824"/>
      <c r="Y405" s="824"/>
      <c r="Z405" s="824"/>
      <c r="AA405" s="824"/>
      <c r="AB405" s="824"/>
      <c r="AC405" s="824"/>
      <c r="AD405" s="824"/>
      <c r="AE405" s="824"/>
      <c r="AF405" s="824"/>
      <c r="AG405" s="824"/>
      <c r="AH405" s="824"/>
      <c r="AI405" s="824"/>
      <c r="AJ405" s="824"/>
      <c r="AK405" s="824"/>
      <c r="AL405" s="824"/>
      <c r="AM405" s="824"/>
      <c r="AN405" s="824"/>
      <c r="AO405" s="824"/>
      <c r="AP405" s="824"/>
      <c r="AQ405" s="824"/>
      <c r="AR405" s="824"/>
    </row>
    <row r="406" spans="1:44" s="15" customFormat="1" x14ac:dyDescent="0.25">
      <c r="A406" s="102"/>
      <c r="M406" s="16"/>
      <c r="V406" s="824"/>
      <c r="W406" s="824"/>
      <c r="X406" s="824"/>
      <c r="Y406" s="824"/>
      <c r="Z406" s="824"/>
      <c r="AA406" s="824"/>
      <c r="AB406" s="824"/>
      <c r="AC406" s="824"/>
      <c r="AD406" s="824"/>
      <c r="AE406" s="824"/>
      <c r="AF406" s="824"/>
      <c r="AG406" s="824"/>
      <c r="AH406" s="824"/>
      <c r="AI406" s="824"/>
      <c r="AJ406" s="824"/>
      <c r="AK406" s="824"/>
      <c r="AL406" s="824"/>
      <c r="AM406" s="824"/>
      <c r="AN406" s="824"/>
      <c r="AO406" s="824"/>
      <c r="AP406" s="824"/>
      <c r="AQ406" s="824"/>
      <c r="AR406" s="824"/>
    </row>
    <row r="407" spans="1:44" s="15" customFormat="1" x14ac:dyDescent="0.25">
      <c r="A407" s="102"/>
      <c r="M407" s="16"/>
      <c r="V407" s="824"/>
      <c r="W407" s="824"/>
      <c r="X407" s="824"/>
      <c r="Y407" s="824"/>
      <c r="Z407" s="824"/>
      <c r="AA407" s="824"/>
      <c r="AB407" s="824"/>
      <c r="AC407" s="824"/>
      <c r="AD407" s="824"/>
      <c r="AE407" s="824"/>
      <c r="AF407" s="824"/>
      <c r="AG407" s="824"/>
      <c r="AH407" s="824"/>
      <c r="AI407" s="824"/>
      <c r="AJ407" s="824"/>
      <c r="AK407" s="824"/>
      <c r="AL407" s="824"/>
      <c r="AM407" s="824"/>
      <c r="AN407" s="824"/>
      <c r="AO407" s="824"/>
      <c r="AP407" s="824"/>
      <c r="AQ407" s="824"/>
      <c r="AR407" s="824"/>
    </row>
    <row r="408" spans="1:44" s="15" customFormat="1" x14ac:dyDescent="0.25">
      <c r="A408" s="102"/>
      <c r="M408" s="16"/>
      <c r="V408" s="824"/>
      <c r="W408" s="824"/>
      <c r="X408" s="824"/>
      <c r="Y408" s="824"/>
      <c r="Z408" s="824"/>
      <c r="AA408" s="824"/>
      <c r="AB408" s="824"/>
      <c r="AC408" s="824"/>
      <c r="AD408" s="824"/>
      <c r="AE408" s="824"/>
      <c r="AF408" s="824"/>
      <c r="AG408" s="824"/>
      <c r="AH408" s="824"/>
      <c r="AI408" s="824"/>
      <c r="AJ408" s="824"/>
      <c r="AK408" s="824"/>
      <c r="AL408" s="824"/>
      <c r="AM408" s="824"/>
      <c r="AN408" s="824"/>
      <c r="AO408" s="824"/>
      <c r="AP408" s="824"/>
      <c r="AQ408" s="824"/>
      <c r="AR408" s="824"/>
    </row>
    <row r="409" spans="1:44" s="15" customFormat="1" x14ac:dyDescent="0.25">
      <c r="A409" s="102"/>
      <c r="M409" s="16"/>
      <c r="V409" s="824"/>
      <c r="W409" s="824"/>
      <c r="X409" s="824"/>
      <c r="Y409" s="824"/>
      <c r="Z409" s="824"/>
      <c r="AA409" s="824"/>
      <c r="AB409" s="824"/>
      <c r="AC409" s="824"/>
      <c r="AD409" s="824"/>
      <c r="AE409" s="824"/>
      <c r="AF409" s="824"/>
      <c r="AG409" s="824"/>
      <c r="AH409" s="824"/>
      <c r="AI409" s="824"/>
      <c r="AJ409" s="824"/>
      <c r="AK409" s="824"/>
      <c r="AL409" s="824"/>
      <c r="AM409" s="824"/>
      <c r="AN409" s="824"/>
      <c r="AO409" s="824"/>
      <c r="AP409" s="824"/>
      <c r="AQ409" s="824"/>
      <c r="AR409" s="824"/>
    </row>
    <row r="410" spans="1:44" s="15" customFormat="1" x14ac:dyDescent="0.25">
      <c r="A410" s="102"/>
      <c r="M410" s="16"/>
      <c r="V410" s="824"/>
      <c r="W410" s="824"/>
      <c r="X410" s="824"/>
      <c r="Y410" s="824"/>
      <c r="Z410" s="824"/>
      <c r="AA410" s="824"/>
      <c r="AB410" s="824"/>
      <c r="AC410" s="824"/>
      <c r="AD410" s="824"/>
      <c r="AE410" s="824"/>
      <c r="AF410" s="824"/>
      <c r="AG410" s="824"/>
      <c r="AH410" s="824"/>
      <c r="AI410" s="824"/>
      <c r="AJ410" s="824"/>
      <c r="AK410" s="824"/>
      <c r="AL410" s="824"/>
      <c r="AM410" s="824"/>
      <c r="AN410" s="824"/>
      <c r="AO410" s="824"/>
      <c r="AP410" s="824"/>
      <c r="AQ410" s="824"/>
      <c r="AR410" s="824"/>
    </row>
    <row r="411" spans="1:44" s="15" customFormat="1" x14ac:dyDescent="0.25">
      <c r="A411" s="102"/>
      <c r="M411" s="16"/>
      <c r="V411" s="824"/>
      <c r="W411" s="824"/>
      <c r="X411" s="824"/>
      <c r="Y411" s="824"/>
      <c r="Z411" s="824"/>
      <c r="AA411" s="824"/>
      <c r="AB411" s="824"/>
      <c r="AC411" s="824"/>
      <c r="AD411" s="824"/>
      <c r="AE411" s="824"/>
      <c r="AF411" s="824"/>
      <c r="AG411" s="824"/>
      <c r="AH411" s="824"/>
      <c r="AI411" s="824"/>
      <c r="AJ411" s="824"/>
      <c r="AK411" s="824"/>
      <c r="AL411" s="824"/>
      <c r="AM411" s="824"/>
      <c r="AN411" s="824"/>
      <c r="AO411" s="824"/>
      <c r="AP411" s="824"/>
      <c r="AQ411" s="824"/>
      <c r="AR411" s="824"/>
    </row>
    <row r="412" spans="1:44" s="15" customFormat="1" x14ac:dyDescent="0.25">
      <c r="A412" s="102"/>
      <c r="M412" s="16"/>
      <c r="V412" s="824"/>
      <c r="W412" s="824"/>
      <c r="X412" s="824"/>
      <c r="Y412" s="824"/>
      <c r="Z412" s="824"/>
      <c r="AA412" s="824"/>
      <c r="AB412" s="824"/>
      <c r="AC412" s="824"/>
      <c r="AD412" s="824"/>
      <c r="AE412" s="824"/>
      <c r="AF412" s="824"/>
      <c r="AG412" s="824"/>
      <c r="AH412" s="824"/>
      <c r="AI412" s="824"/>
      <c r="AJ412" s="824"/>
      <c r="AK412" s="824"/>
      <c r="AL412" s="824"/>
      <c r="AM412" s="824"/>
      <c r="AN412" s="824"/>
      <c r="AO412" s="824"/>
      <c r="AP412" s="824"/>
      <c r="AQ412" s="824"/>
      <c r="AR412" s="824"/>
    </row>
    <row r="413" spans="1:44" s="15" customFormat="1" x14ac:dyDescent="0.25">
      <c r="A413" s="102"/>
      <c r="M413" s="16"/>
      <c r="V413" s="824"/>
      <c r="W413" s="824"/>
      <c r="X413" s="824"/>
      <c r="Y413" s="824"/>
      <c r="Z413" s="824"/>
      <c r="AA413" s="824"/>
      <c r="AB413" s="824"/>
      <c r="AC413" s="824"/>
      <c r="AD413" s="824"/>
      <c r="AE413" s="824"/>
      <c r="AF413" s="824"/>
      <c r="AG413" s="824"/>
      <c r="AH413" s="824"/>
      <c r="AI413" s="824"/>
      <c r="AJ413" s="824"/>
      <c r="AK413" s="824"/>
      <c r="AL413" s="824"/>
      <c r="AM413" s="824"/>
      <c r="AN413" s="824"/>
      <c r="AO413" s="824"/>
      <c r="AP413" s="824"/>
      <c r="AQ413" s="824"/>
      <c r="AR413" s="824"/>
    </row>
    <row r="414" spans="1:44" s="15" customFormat="1" x14ac:dyDescent="0.25">
      <c r="A414" s="102"/>
      <c r="M414" s="16"/>
      <c r="V414" s="824"/>
      <c r="W414" s="824"/>
      <c r="X414" s="824"/>
      <c r="Y414" s="824"/>
      <c r="Z414" s="824"/>
      <c r="AA414" s="824"/>
      <c r="AB414" s="824"/>
      <c r="AC414" s="824"/>
      <c r="AD414" s="824"/>
      <c r="AE414" s="824"/>
      <c r="AF414" s="824"/>
      <c r="AG414" s="824"/>
      <c r="AH414" s="824"/>
      <c r="AI414" s="824"/>
      <c r="AJ414" s="824"/>
      <c r="AK414" s="824"/>
      <c r="AL414" s="824"/>
      <c r="AM414" s="824"/>
      <c r="AN414" s="824"/>
      <c r="AO414" s="824"/>
      <c r="AP414" s="824"/>
      <c r="AQ414" s="824"/>
      <c r="AR414" s="824"/>
    </row>
    <row r="415" spans="1:44" s="15" customFormat="1" x14ac:dyDescent="0.25">
      <c r="A415" s="102"/>
      <c r="M415" s="16"/>
      <c r="V415" s="824"/>
      <c r="W415" s="824"/>
      <c r="X415" s="824"/>
      <c r="Y415" s="824"/>
      <c r="Z415" s="824"/>
      <c r="AA415" s="824"/>
      <c r="AB415" s="824"/>
      <c r="AC415" s="824"/>
      <c r="AD415" s="824"/>
      <c r="AE415" s="824"/>
      <c r="AF415" s="824"/>
      <c r="AG415" s="824"/>
      <c r="AH415" s="824"/>
      <c r="AI415" s="824"/>
      <c r="AJ415" s="824"/>
      <c r="AK415" s="824"/>
      <c r="AL415" s="824"/>
      <c r="AM415" s="824"/>
      <c r="AN415" s="824"/>
      <c r="AO415" s="824"/>
      <c r="AP415" s="824"/>
      <c r="AQ415" s="824"/>
      <c r="AR415" s="824"/>
    </row>
    <row r="416" spans="1:44" s="15" customFormat="1" x14ac:dyDescent="0.25">
      <c r="A416" s="102"/>
      <c r="M416" s="16"/>
      <c r="V416" s="824"/>
      <c r="W416" s="824"/>
      <c r="X416" s="824"/>
      <c r="Y416" s="824"/>
      <c r="Z416" s="824"/>
      <c r="AA416" s="824"/>
      <c r="AB416" s="824"/>
      <c r="AC416" s="824"/>
      <c r="AD416" s="824"/>
      <c r="AE416" s="824"/>
      <c r="AF416" s="824"/>
      <c r="AG416" s="824"/>
      <c r="AH416" s="824"/>
      <c r="AI416" s="824"/>
      <c r="AJ416" s="824"/>
      <c r="AK416" s="824"/>
      <c r="AL416" s="824"/>
      <c r="AM416" s="824"/>
      <c r="AN416" s="824"/>
      <c r="AO416" s="824"/>
      <c r="AP416" s="824"/>
      <c r="AQ416" s="824"/>
      <c r="AR416" s="824"/>
    </row>
    <row r="417" spans="1:44" s="15" customFormat="1" x14ac:dyDescent="0.25">
      <c r="A417" s="102"/>
      <c r="M417" s="16"/>
      <c r="V417" s="824"/>
      <c r="W417" s="824"/>
      <c r="X417" s="824"/>
      <c r="Y417" s="824"/>
      <c r="Z417" s="824"/>
      <c r="AA417" s="824"/>
      <c r="AB417" s="824"/>
      <c r="AC417" s="824"/>
      <c r="AD417" s="824"/>
      <c r="AE417" s="824"/>
      <c r="AF417" s="824"/>
      <c r="AG417" s="824"/>
      <c r="AH417" s="824"/>
      <c r="AI417" s="824"/>
      <c r="AJ417" s="824"/>
      <c r="AK417" s="824"/>
      <c r="AL417" s="824"/>
      <c r="AM417" s="824"/>
      <c r="AN417" s="824"/>
      <c r="AO417" s="824"/>
      <c r="AP417" s="824"/>
      <c r="AQ417" s="824"/>
      <c r="AR417" s="824"/>
    </row>
    <row r="418" spans="1:44" s="15" customFormat="1" x14ac:dyDescent="0.25">
      <c r="A418" s="102"/>
      <c r="M418" s="16"/>
      <c r="V418" s="824"/>
      <c r="W418" s="824"/>
      <c r="X418" s="824"/>
      <c r="Y418" s="824"/>
      <c r="Z418" s="824"/>
      <c r="AA418" s="824"/>
      <c r="AB418" s="824"/>
      <c r="AC418" s="824"/>
      <c r="AD418" s="824"/>
      <c r="AE418" s="824"/>
      <c r="AF418" s="824"/>
      <c r="AG418" s="824"/>
      <c r="AH418" s="824"/>
      <c r="AI418" s="824"/>
      <c r="AJ418" s="824"/>
      <c r="AK418" s="824"/>
      <c r="AL418" s="824"/>
      <c r="AM418" s="824"/>
      <c r="AN418" s="824"/>
      <c r="AO418" s="824"/>
      <c r="AP418" s="824"/>
      <c r="AQ418" s="824"/>
      <c r="AR418" s="824"/>
    </row>
    <row r="419" spans="1:44" s="15" customFormat="1" x14ac:dyDescent="0.25">
      <c r="A419" s="102"/>
      <c r="M419" s="16"/>
      <c r="V419" s="824"/>
      <c r="W419" s="824"/>
      <c r="X419" s="824"/>
      <c r="Y419" s="824"/>
      <c r="Z419" s="824"/>
      <c r="AA419" s="824"/>
      <c r="AB419" s="824"/>
      <c r="AC419" s="824"/>
      <c r="AD419" s="824"/>
      <c r="AE419" s="824"/>
      <c r="AF419" s="824"/>
      <c r="AG419" s="824"/>
      <c r="AH419" s="824"/>
      <c r="AI419" s="824"/>
      <c r="AJ419" s="824"/>
      <c r="AK419" s="824"/>
      <c r="AL419" s="824"/>
      <c r="AM419" s="824"/>
      <c r="AN419" s="824"/>
      <c r="AO419" s="824"/>
      <c r="AP419" s="824"/>
      <c r="AQ419" s="824"/>
      <c r="AR419" s="824"/>
    </row>
    <row r="420" spans="1:44" s="15" customFormat="1" x14ac:dyDescent="0.25">
      <c r="A420" s="102"/>
      <c r="M420" s="16"/>
      <c r="V420" s="824"/>
      <c r="W420" s="824"/>
      <c r="X420" s="824"/>
      <c r="Y420" s="824"/>
      <c r="Z420" s="824"/>
      <c r="AA420" s="824"/>
      <c r="AB420" s="824"/>
      <c r="AC420" s="824"/>
      <c r="AD420" s="824"/>
      <c r="AE420" s="824"/>
      <c r="AF420" s="824"/>
      <c r="AG420" s="824"/>
      <c r="AH420" s="824"/>
      <c r="AI420" s="824"/>
      <c r="AJ420" s="824"/>
      <c r="AK420" s="824"/>
      <c r="AL420" s="824"/>
      <c r="AM420" s="824"/>
      <c r="AN420" s="824"/>
      <c r="AO420" s="824"/>
      <c r="AP420" s="824"/>
      <c r="AQ420" s="824"/>
      <c r="AR420" s="824"/>
    </row>
    <row r="421" spans="1:44" s="15" customFormat="1" x14ac:dyDescent="0.25">
      <c r="A421" s="102"/>
      <c r="M421" s="16"/>
      <c r="V421" s="824"/>
      <c r="W421" s="824"/>
      <c r="X421" s="824"/>
      <c r="Y421" s="824"/>
      <c r="Z421" s="824"/>
      <c r="AA421" s="824"/>
      <c r="AB421" s="824"/>
      <c r="AC421" s="824"/>
      <c r="AD421" s="824"/>
      <c r="AE421" s="824"/>
      <c r="AF421" s="824"/>
      <c r="AG421" s="824"/>
      <c r="AH421" s="824"/>
      <c r="AI421" s="824"/>
      <c r="AJ421" s="824"/>
      <c r="AK421" s="824"/>
      <c r="AL421" s="824"/>
      <c r="AM421" s="824"/>
      <c r="AN421" s="824"/>
      <c r="AO421" s="824"/>
      <c r="AP421" s="824"/>
      <c r="AQ421" s="824"/>
      <c r="AR421" s="824"/>
    </row>
    <row r="422" spans="1:44" s="15" customFormat="1" x14ac:dyDescent="0.25">
      <c r="A422" s="102"/>
      <c r="M422" s="16"/>
      <c r="V422" s="824"/>
      <c r="W422" s="824"/>
      <c r="X422" s="824"/>
      <c r="Y422" s="824"/>
      <c r="Z422" s="824"/>
      <c r="AA422" s="824"/>
      <c r="AB422" s="824"/>
      <c r="AC422" s="824"/>
      <c r="AD422" s="824"/>
      <c r="AE422" s="824"/>
      <c r="AF422" s="824"/>
      <c r="AG422" s="824"/>
      <c r="AH422" s="824"/>
      <c r="AI422" s="824"/>
      <c r="AJ422" s="824"/>
      <c r="AK422" s="824"/>
      <c r="AL422" s="824"/>
      <c r="AM422" s="824"/>
      <c r="AN422" s="824"/>
      <c r="AO422" s="824"/>
      <c r="AP422" s="824"/>
      <c r="AQ422" s="824"/>
      <c r="AR422" s="824"/>
    </row>
    <row r="423" spans="1:44" s="15" customFormat="1" x14ac:dyDescent="0.25">
      <c r="A423" s="102"/>
      <c r="M423" s="16"/>
      <c r="V423" s="824"/>
      <c r="W423" s="824"/>
      <c r="X423" s="824"/>
      <c r="Y423" s="824"/>
      <c r="Z423" s="824"/>
      <c r="AA423" s="824"/>
      <c r="AB423" s="824"/>
      <c r="AC423" s="824"/>
      <c r="AD423" s="824"/>
      <c r="AE423" s="824"/>
      <c r="AF423" s="824"/>
      <c r="AG423" s="824"/>
      <c r="AH423" s="824"/>
      <c r="AI423" s="824"/>
      <c r="AJ423" s="824"/>
      <c r="AK423" s="824"/>
      <c r="AL423" s="824"/>
      <c r="AM423" s="824"/>
      <c r="AN423" s="824"/>
      <c r="AO423" s="824"/>
      <c r="AP423" s="824"/>
      <c r="AQ423" s="824"/>
      <c r="AR423" s="824"/>
    </row>
    <row r="424" spans="1:44" s="15" customFormat="1" x14ac:dyDescent="0.25">
      <c r="A424" s="102"/>
      <c r="M424" s="16"/>
      <c r="V424" s="824"/>
      <c r="W424" s="824"/>
      <c r="X424" s="824"/>
      <c r="Y424" s="824"/>
      <c r="Z424" s="824"/>
      <c r="AA424" s="824"/>
      <c r="AB424" s="824"/>
      <c r="AC424" s="824"/>
      <c r="AD424" s="824"/>
      <c r="AE424" s="824"/>
      <c r="AF424" s="824"/>
      <c r="AG424" s="824"/>
      <c r="AH424" s="824"/>
      <c r="AI424" s="824"/>
      <c r="AJ424" s="824"/>
      <c r="AK424" s="824"/>
      <c r="AL424" s="824"/>
      <c r="AM424" s="824"/>
      <c r="AN424" s="824"/>
      <c r="AO424" s="824"/>
      <c r="AP424" s="824"/>
      <c r="AQ424" s="824"/>
      <c r="AR424" s="824"/>
    </row>
    <row r="425" spans="1:44" s="15" customFormat="1" x14ac:dyDescent="0.25">
      <c r="A425" s="102"/>
      <c r="M425" s="16"/>
      <c r="V425" s="824"/>
      <c r="W425" s="824"/>
      <c r="X425" s="824"/>
      <c r="Y425" s="824"/>
      <c r="Z425" s="824"/>
      <c r="AA425" s="824"/>
      <c r="AB425" s="824"/>
      <c r="AC425" s="824"/>
      <c r="AD425" s="824"/>
      <c r="AE425" s="824"/>
      <c r="AF425" s="824"/>
      <c r="AG425" s="824"/>
      <c r="AH425" s="824"/>
      <c r="AI425" s="824"/>
      <c r="AJ425" s="824"/>
      <c r="AK425" s="824"/>
      <c r="AL425" s="824"/>
      <c r="AM425" s="824"/>
      <c r="AN425" s="824"/>
      <c r="AO425" s="824"/>
      <c r="AP425" s="824"/>
      <c r="AQ425" s="824"/>
      <c r="AR425" s="824"/>
    </row>
    <row r="426" spans="1:44" s="15" customFormat="1" x14ac:dyDescent="0.25">
      <c r="A426" s="102"/>
      <c r="M426" s="16"/>
      <c r="V426" s="824"/>
      <c r="W426" s="824"/>
      <c r="X426" s="824"/>
      <c r="Y426" s="824"/>
      <c r="Z426" s="824"/>
      <c r="AA426" s="824"/>
      <c r="AB426" s="824"/>
      <c r="AC426" s="824"/>
      <c r="AD426" s="824"/>
      <c r="AE426" s="824"/>
      <c r="AF426" s="824"/>
      <c r="AG426" s="824"/>
      <c r="AH426" s="824"/>
      <c r="AI426" s="824"/>
      <c r="AJ426" s="824"/>
      <c r="AK426" s="824"/>
      <c r="AL426" s="824"/>
      <c r="AM426" s="824"/>
      <c r="AN426" s="824"/>
      <c r="AO426" s="824"/>
      <c r="AP426" s="824"/>
      <c r="AQ426" s="824"/>
      <c r="AR426" s="824"/>
    </row>
    <row r="427" spans="1:44" s="15" customFormat="1" x14ac:dyDescent="0.25">
      <c r="A427" s="102"/>
      <c r="M427" s="16"/>
      <c r="V427" s="824"/>
      <c r="W427" s="824"/>
      <c r="X427" s="824"/>
      <c r="Y427" s="824"/>
      <c r="Z427" s="824"/>
      <c r="AA427" s="824"/>
      <c r="AB427" s="824"/>
      <c r="AC427" s="824"/>
      <c r="AD427" s="824"/>
      <c r="AE427" s="824"/>
      <c r="AF427" s="824"/>
      <c r="AG427" s="824"/>
      <c r="AH427" s="824"/>
      <c r="AI427" s="824"/>
      <c r="AJ427" s="824"/>
      <c r="AK427" s="824"/>
      <c r="AL427" s="824"/>
      <c r="AM427" s="824"/>
      <c r="AN427" s="824"/>
      <c r="AO427" s="824"/>
      <c r="AP427" s="824"/>
      <c r="AQ427" s="824"/>
      <c r="AR427" s="824"/>
    </row>
    <row r="428" spans="1:44" s="15" customFormat="1" x14ac:dyDescent="0.25">
      <c r="A428" s="102"/>
      <c r="M428" s="16"/>
      <c r="V428" s="824"/>
      <c r="W428" s="824"/>
      <c r="X428" s="824"/>
      <c r="Y428" s="824"/>
      <c r="Z428" s="824"/>
      <c r="AA428" s="824"/>
      <c r="AB428" s="824"/>
      <c r="AC428" s="824"/>
      <c r="AD428" s="824"/>
      <c r="AE428" s="824"/>
      <c r="AF428" s="824"/>
      <c r="AG428" s="824"/>
      <c r="AH428" s="824"/>
      <c r="AI428" s="824"/>
      <c r="AJ428" s="824"/>
      <c r="AK428" s="824"/>
      <c r="AL428" s="824"/>
      <c r="AM428" s="824"/>
      <c r="AN428" s="824"/>
      <c r="AO428" s="824"/>
      <c r="AP428" s="824"/>
      <c r="AQ428" s="824"/>
      <c r="AR428" s="824"/>
    </row>
    <row r="429" spans="1:44" s="15" customFormat="1" x14ac:dyDescent="0.25">
      <c r="A429" s="102"/>
      <c r="M429" s="16"/>
      <c r="V429" s="824"/>
      <c r="W429" s="824"/>
      <c r="X429" s="824"/>
      <c r="Y429" s="824"/>
      <c r="Z429" s="824"/>
      <c r="AA429" s="824"/>
      <c r="AB429" s="824"/>
      <c r="AC429" s="824"/>
      <c r="AD429" s="824"/>
      <c r="AE429" s="824"/>
      <c r="AF429" s="824"/>
      <c r="AG429" s="824"/>
      <c r="AH429" s="824"/>
      <c r="AI429" s="824"/>
      <c r="AJ429" s="824"/>
      <c r="AK429" s="824"/>
      <c r="AL429" s="824"/>
      <c r="AM429" s="824"/>
      <c r="AN429" s="824"/>
      <c r="AO429" s="824"/>
      <c r="AP429" s="824"/>
      <c r="AQ429" s="824"/>
      <c r="AR429" s="824"/>
    </row>
    <row r="430" spans="1:44" s="15" customFormat="1" x14ac:dyDescent="0.25">
      <c r="A430" s="102"/>
      <c r="M430" s="16"/>
      <c r="V430" s="824"/>
      <c r="W430" s="824"/>
      <c r="X430" s="824"/>
      <c r="Y430" s="824"/>
      <c r="Z430" s="824"/>
      <c r="AA430" s="824"/>
      <c r="AB430" s="824"/>
      <c r="AC430" s="824"/>
      <c r="AD430" s="824"/>
      <c r="AE430" s="824"/>
      <c r="AF430" s="824"/>
      <c r="AG430" s="824"/>
      <c r="AH430" s="824"/>
      <c r="AI430" s="824"/>
      <c r="AJ430" s="824"/>
      <c r="AK430" s="824"/>
      <c r="AL430" s="824"/>
      <c r="AM430" s="824"/>
      <c r="AN430" s="824"/>
      <c r="AO430" s="824"/>
      <c r="AP430" s="824"/>
      <c r="AQ430" s="824"/>
      <c r="AR430" s="824"/>
    </row>
    <row r="431" spans="1:44" s="15" customFormat="1" x14ac:dyDescent="0.25">
      <c r="A431" s="102"/>
      <c r="M431" s="16"/>
      <c r="V431" s="824"/>
      <c r="W431" s="824"/>
      <c r="X431" s="824"/>
      <c r="Y431" s="824"/>
      <c r="Z431" s="824"/>
      <c r="AA431" s="824"/>
      <c r="AB431" s="824"/>
      <c r="AC431" s="824"/>
      <c r="AD431" s="824"/>
      <c r="AE431" s="824"/>
      <c r="AF431" s="824"/>
      <c r="AG431" s="824"/>
      <c r="AH431" s="824"/>
      <c r="AI431" s="824"/>
      <c r="AJ431" s="824"/>
      <c r="AK431" s="824"/>
      <c r="AL431" s="824"/>
      <c r="AM431" s="824"/>
      <c r="AN431" s="824"/>
      <c r="AO431" s="824"/>
      <c r="AP431" s="824"/>
      <c r="AQ431" s="824"/>
      <c r="AR431" s="824"/>
    </row>
    <row r="432" spans="1:44" s="15" customFormat="1" x14ac:dyDescent="0.25">
      <c r="A432" s="102"/>
      <c r="M432" s="16"/>
      <c r="V432" s="824"/>
      <c r="W432" s="824"/>
      <c r="X432" s="824"/>
      <c r="Y432" s="824"/>
      <c r="Z432" s="824"/>
      <c r="AA432" s="824"/>
      <c r="AB432" s="824"/>
      <c r="AC432" s="824"/>
      <c r="AD432" s="824"/>
      <c r="AE432" s="824"/>
      <c r="AF432" s="824"/>
      <c r="AG432" s="824"/>
      <c r="AH432" s="824"/>
      <c r="AI432" s="824"/>
      <c r="AJ432" s="824"/>
      <c r="AK432" s="824"/>
      <c r="AL432" s="824"/>
      <c r="AM432" s="824"/>
      <c r="AN432" s="824"/>
      <c r="AO432" s="824"/>
      <c r="AP432" s="824"/>
      <c r="AQ432" s="824"/>
      <c r="AR432" s="824"/>
    </row>
    <row r="433" spans="1:44" s="15" customFormat="1" x14ac:dyDescent="0.25">
      <c r="A433" s="102"/>
      <c r="M433" s="16"/>
      <c r="V433" s="824"/>
      <c r="W433" s="824"/>
      <c r="X433" s="824"/>
      <c r="Y433" s="824"/>
      <c r="Z433" s="824"/>
      <c r="AA433" s="824"/>
      <c r="AB433" s="824"/>
      <c r="AC433" s="824"/>
      <c r="AD433" s="824"/>
      <c r="AE433" s="824"/>
      <c r="AF433" s="824"/>
      <c r="AG433" s="824"/>
      <c r="AH433" s="824"/>
      <c r="AI433" s="824"/>
      <c r="AJ433" s="824"/>
      <c r="AK433" s="824"/>
      <c r="AL433" s="824"/>
      <c r="AM433" s="824"/>
      <c r="AN433" s="824"/>
      <c r="AO433" s="824"/>
      <c r="AP433" s="824"/>
      <c r="AQ433" s="824"/>
      <c r="AR433" s="824"/>
    </row>
    <row r="434" spans="1:44" s="15" customFormat="1" x14ac:dyDescent="0.25">
      <c r="A434" s="102"/>
      <c r="M434" s="16"/>
      <c r="V434" s="824"/>
      <c r="W434" s="824"/>
      <c r="X434" s="824"/>
      <c r="Y434" s="824"/>
      <c r="Z434" s="824"/>
      <c r="AA434" s="824"/>
      <c r="AB434" s="824"/>
      <c r="AC434" s="824"/>
      <c r="AD434" s="824"/>
      <c r="AE434" s="824"/>
      <c r="AF434" s="824"/>
      <c r="AG434" s="824"/>
      <c r="AH434" s="824"/>
      <c r="AI434" s="824"/>
      <c r="AJ434" s="824"/>
      <c r="AK434" s="824"/>
      <c r="AL434" s="824"/>
      <c r="AM434" s="824"/>
      <c r="AN434" s="824"/>
      <c r="AO434" s="824"/>
      <c r="AP434" s="824"/>
      <c r="AQ434" s="824"/>
      <c r="AR434" s="824"/>
    </row>
    <row r="435" spans="1:44" s="15" customFormat="1" x14ac:dyDescent="0.25">
      <c r="A435" s="102"/>
      <c r="M435" s="16"/>
      <c r="V435" s="824"/>
      <c r="W435" s="824"/>
      <c r="X435" s="824"/>
      <c r="Y435" s="824"/>
      <c r="Z435" s="824"/>
      <c r="AA435" s="824"/>
      <c r="AB435" s="824"/>
      <c r="AC435" s="824"/>
      <c r="AD435" s="824"/>
      <c r="AE435" s="824"/>
      <c r="AF435" s="824"/>
      <c r="AG435" s="824"/>
      <c r="AH435" s="824"/>
      <c r="AI435" s="824"/>
      <c r="AJ435" s="824"/>
      <c r="AK435" s="824"/>
      <c r="AL435" s="824"/>
      <c r="AM435" s="824"/>
      <c r="AN435" s="824"/>
      <c r="AO435" s="824"/>
      <c r="AP435" s="824"/>
      <c r="AQ435" s="824"/>
      <c r="AR435" s="824"/>
    </row>
    <row r="436" spans="1:44" s="15" customFormat="1" x14ac:dyDescent="0.25">
      <c r="A436" s="102"/>
      <c r="M436" s="16"/>
      <c r="V436" s="824"/>
      <c r="W436" s="824"/>
      <c r="X436" s="824"/>
      <c r="Y436" s="824"/>
      <c r="Z436" s="824"/>
      <c r="AA436" s="824"/>
      <c r="AB436" s="824"/>
      <c r="AC436" s="824"/>
      <c r="AD436" s="824"/>
      <c r="AE436" s="824"/>
      <c r="AF436" s="824"/>
      <c r="AG436" s="824"/>
      <c r="AH436" s="824"/>
      <c r="AI436" s="824"/>
      <c r="AJ436" s="824"/>
      <c r="AK436" s="824"/>
      <c r="AL436" s="824"/>
      <c r="AM436" s="824"/>
      <c r="AN436" s="824"/>
      <c r="AO436" s="824"/>
      <c r="AP436" s="824"/>
      <c r="AQ436" s="824"/>
      <c r="AR436" s="824"/>
    </row>
    <row r="437" spans="1:44" s="15" customFormat="1" x14ac:dyDescent="0.25">
      <c r="A437" s="102"/>
      <c r="M437" s="16"/>
      <c r="V437" s="824"/>
      <c r="W437" s="824"/>
      <c r="X437" s="824"/>
      <c r="Y437" s="824"/>
      <c r="Z437" s="824"/>
      <c r="AA437" s="824"/>
      <c r="AB437" s="824"/>
      <c r="AC437" s="824"/>
      <c r="AD437" s="824"/>
      <c r="AE437" s="824"/>
      <c r="AF437" s="824"/>
      <c r="AG437" s="824"/>
      <c r="AH437" s="824"/>
      <c r="AI437" s="824"/>
      <c r="AJ437" s="824"/>
      <c r="AK437" s="824"/>
      <c r="AL437" s="824"/>
      <c r="AM437" s="824"/>
      <c r="AN437" s="824"/>
      <c r="AO437" s="824"/>
      <c r="AP437" s="824"/>
      <c r="AQ437" s="824"/>
      <c r="AR437" s="824"/>
    </row>
    <row r="438" spans="1:44" s="15" customFormat="1" x14ac:dyDescent="0.25">
      <c r="A438" s="102"/>
      <c r="M438" s="16"/>
      <c r="V438" s="824"/>
      <c r="W438" s="824"/>
      <c r="X438" s="824"/>
      <c r="Y438" s="824"/>
      <c r="Z438" s="824"/>
      <c r="AA438" s="824"/>
      <c r="AB438" s="824"/>
      <c r="AC438" s="824"/>
      <c r="AD438" s="824"/>
      <c r="AE438" s="824"/>
      <c r="AF438" s="824"/>
      <c r="AG438" s="824"/>
      <c r="AH438" s="824"/>
      <c r="AI438" s="824"/>
      <c r="AJ438" s="824"/>
      <c r="AK438" s="824"/>
      <c r="AL438" s="824"/>
      <c r="AM438" s="824"/>
      <c r="AN438" s="824"/>
      <c r="AO438" s="824"/>
      <c r="AP438" s="824"/>
      <c r="AQ438" s="824"/>
      <c r="AR438" s="824"/>
    </row>
    <row r="439" spans="1:44" s="15" customFormat="1" x14ac:dyDescent="0.25">
      <c r="A439" s="102"/>
      <c r="M439" s="16"/>
      <c r="V439" s="824"/>
      <c r="W439" s="824"/>
      <c r="X439" s="824"/>
      <c r="Y439" s="824"/>
      <c r="Z439" s="824"/>
      <c r="AA439" s="824"/>
      <c r="AB439" s="824"/>
      <c r="AC439" s="824"/>
      <c r="AD439" s="824"/>
      <c r="AE439" s="824"/>
      <c r="AF439" s="824"/>
      <c r="AG439" s="824"/>
      <c r="AH439" s="824"/>
      <c r="AI439" s="824"/>
      <c r="AJ439" s="824"/>
      <c r="AK439" s="824"/>
      <c r="AL439" s="824"/>
      <c r="AM439" s="824"/>
      <c r="AN439" s="824"/>
      <c r="AO439" s="824"/>
      <c r="AP439" s="824"/>
      <c r="AQ439" s="824"/>
      <c r="AR439" s="824"/>
    </row>
    <row r="440" spans="1:44" s="15" customFormat="1" x14ac:dyDescent="0.25">
      <c r="A440" s="102"/>
      <c r="M440" s="16"/>
      <c r="V440" s="824"/>
      <c r="W440" s="824"/>
      <c r="X440" s="824"/>
      <c r="Y440" s="824"/>
      <c r="Z440" s="824"/>
      <c r="AA440" s="824"/>
      <c r="AB440" s="824"/>
      <c r="AC440" s="824"/>
      <c r="AD440" s="824"/>
      <c r="AE440" s="824"/>
      <c r="AF440" s="824"/>
      <c r="AG440" s="824"/>
      <c r="AH440" s="824"/>
      <c r="AI440" s="824"/>
      <c r="AJ440" s="824"/>
      <c r="AK440" s="824"/>
      <c r="AL440" s="824"/>
      <c r="AM440" s="824"/>
      <c r="AN440" s="824"/>
      <c r="AO440" s="824"/>
      <c r="AP440" s="824"/>
      <c r="AQ440" s="824"/>
      <c r="AR440" s="824"/>
    </row>
    <row r="441" spans="1:44" s="15" customFormat="1" x14ac:dyDescent="0.25">
      <c r="A441" s="102"/>
      <c r="M441" s="16"/>
      <c r="V441" s="824"/>
      <c r="W441" s="824"/>
      <c r="X441" s="824"/>
      <c r="Y441" s="824"/>
      <c r="Z441" s="824"/>
      <c r="AA441" s="824"/>
      <c r="AB441" s="824"/>
      <c r="AC441" s="824"/>
      <c r="AD441" s="824"/>
      <c r="AE441" s="824"/>
      <c r="AF441" s="824"/>
      <c r="AG441" s="824"/>
      <c r="AH441" s="824"/>
      <c r="AI441" s="824"/>
      <c r="AJ441" s="824"/>
      <c r="AK441" s="824"/>
      <c r="AL441" s="824"/>
      <c r="AM441" s="824"/>
      <c r="AN441" s="824"/>
      <c r="AO441" s="824"/>
      <c r="AP441" s="824"/>
      <c r="AQ441" s="824"/>
      <c r="AR441" s="824"/>
    </row>
    <row r="442" spans="1:44" s="15" customFormat="1" x14ac:dyDescent="0.25">
      <c r="A442" s="102"/>
      <c r="M442" s="16"/>
      <c r="V442" s="824"/>
      <c r="W442" s="824"/>
      <c r="X442" s="824"/>
      <c r="Y442" s="824"/>
      <c r="Z442" s="824"/>
      <c r="AA442" s="824"/>
      <c r="AB442" s="824"/>
      <c r="AC442" s="824"/>
      <c r="AD442" s="824"/>
      <c r="AE442" s="824"/>
      <c r="AF442" s="824"/>
      <c r="AG442" s="824"/>
      <c r="AH442" s="824"/>
      <c r="AI442" s="824"/>
      <c r="AJ442" s="824"/>
      <c r="AK442" s="824"/>
      <c r="AL442" s="824"/>
      <c r="AM442" s="824"/>
      <c r="AN442" s="824"/>
      <c r="AO442" s="824"/>
      <c r="AP442" s="824"/>
      <c r="AQ442" s="824"/>
      <c r="AR442" s="824"/>
    </row>
    <row r="443" spans="1:44" s="15" customFormat="1" x14ac:dyDescent="0.25">
      <c r="A443" s="102"/>
      <c r="M443" s="16"/>
      <c r="V443" s="824"/>
      <c r="W443" s="824"/>
      <c r="X443" s="824"/>
      <c r="Y443" s="824"/>
      <c r="Z443" s="824"/>
      <c r="AA443" s="824"/>
      <c r="AB443" s="824"/>
      <c r="AC443" s="824"/>
      <c r="AD443" s="824"/>
      <c r="AE443" s="824"/>
      <c r="AF443" s="824"/>
      <c r="AG443" s="824"/>
      <c r="AH443" s="824"/>
      <c r="AI443" s="824"/>
      <c r="AJ443" s="824"/>
      <c r="AK443" s="824"/>
      <c r="AL443" s="824"/>
      <c r="AM443" s="824"/>
      <c r="AN443" s="824"/>
      <c r="AO443" s="824"/>
      <c r="AP443" s="824"/>
      <c r="AQ443" s="824"/>
      <c r="AR443" s="824"/>
    </row>
    <row r="444" spans="1:44" s="15" customFormat="1" x14ac:dyDescent="0.25">
      <c r="A444" s="102"/>
      <c r="M444" s="16"/>
      <c r="V444" s="824"/>
      <c r="W444" s="824"/>
      <c r="X444" s="824"/>
      <c r="Y444" s="824"/>
      <c r="Z444" s="824"/>
      <c r="AA444" s="824"/>
      <c r="AB444" s="824"/>
      <c r="AC444" s="824"/>
      <c r="AD444" s="824"/>
      <c r="AE444" s="824"/>
      <c r="AF444" s="824"/>
      <c r="AG444" s="824"/>
      <c r="AH444" s="824"/>
      <c r="AI444" s="824"/>
      <c r="AJ444" s="824"/>
      <c r="AK444" s="824"/>
      <c r="AL444" s="824"/>
      <c r="AM444" s="824"/>
      <c r="AN444" s="824"/>
      <c r="AO444" s="824"/>
      <c r="AP444" s="824"/>
      <c r="AQ444" s="824"/>
      <c r="AR444" s="824"/>
    </row>
    <row r="445" spans="1:44" s="15" customFormat="1" x14ac:dyDescent="0.25">
      <c r="A445" s="102"/>
      <c r="M445" s="16"/>
      <c r="V445" s="824"/>
      <c r="W445" s="824"/>
      <c r="X445" s="824"/>
      <c r="Y445" s="824"/>
      <c r="Z445" s="824"/>
      <c r="AA445" s="824"/>
      <c r="AB445" s="824"/>
      <c r="AC445" s="824"/>
      <c r="AD445" s="824"/>
      <c r="AE445" s="824"/>
      <c r="AF445" s="824"/>
      <c r="AG445" s="824"/>
      <c r="AH445" s="824"/>
      <c r="AI445" s="824"/>
      <c r="AJ445" s="824"/>
      <c r="AK445" s="824"/>
      <c r="AL445" s="824"/>
      <c r="AM445" s="824"/>
      <c r="AN445" s="824"/>
      <c r="AO445" s="824"/>
      <c r="AP445" s="824"/>
      <c r="AQ445" s="824"/>
      <c r="AR445" s="824"/>
    </row>
    <row r="446" spans="1:44" s="15" customFormat="1" x14ac:dyDescent="0.25">
      <c r="A446" s="102"/>
      <c r="M446" s="16"/>
      <c r="V446" s="824"/>
      <c r="W446" s="824"/>
      <c r="X446" s="824"/>
      <c r="Y446" s="824"/>
      <c r="Z446" s="824"/>
      <c r="AA446" s="824"/>
      <c r="AB446" s="824"/>
      <c r="AC446" s="824"/>
      <c r="AD446" s="824"/>
      <c r="AE446" s="824"/>
      <c r="AF446" s="824"/>
      <c r="AG446" s="824"/>
      <c r="AH446" s="824"/>
      <c r="AI446" s="824"/>
      <c r="AJ446" s="824"/>
      <c r="AK446" s="824"/>
      <c r="AL446" s="824"/>
      <c r="AM446" s="824"/>
      <c r="AN446" s="824"/>
      <c r="AO446" s="824"/>
      <c r="AP446" s="824"/>
      <c r="AQ446" s="824"/>
      <c r="AR446" s="824"/>
    </row>
  </sheetData>
  <sheetProtection algorithmName="SHA-512" hashValue="wnaWpYGKsVYt34Lv4cAnot8fM1+T3b35/j4Rqjvk1GQUG+xSQIAq9fDXxjH3UdyWapmeR0+VJNHFIituP4QAFg==" saltValue="jZjxvUnS65IakzUadATDqA==" spinCount="100000" sheet="1" objects="1" scenarios="1" selectLockedCells="1" selectUnlockedCells="1"/>
  <mergeCells count="34">
    <mergeCell ref="F8:G8"/>
    <mergeCell ref="I6:M6"/>
    <mergeCell ref="C61:D61"/>
    <mergeCell ref="E55:H55"/>
    <mergeCell ref="D12:F12"/>
    <mergeCell ref="D10:F10"/>
    <mergeCell ref="G12:H12"/>
    <mergeCell ref="E65:G65"/>
    <mergeCell ref="I14:M14"/>
    <mergeCell ref="F24:G24"/>
    <mergeCell ref="C19:D19"/>
    <mergeCell ref="D24:E24"/>
    <mergeCell ref="I18:M18"/>
    <mergeCell ref="I24:M24"/>
    <mergeCell ref="K20:M20"/>
    <mergeCell ref="E20:G20"/>
    <mergeCell ref="H20:J20"/>
    <mergeCell ref="C60:D60"/>
    <mergeCell ref="N20:P20"/>
    <mergeCell ref="Q30:R30"/>
    <mergeCell ref="D119:E119"/>
    <mergeCell ref="Q55:R55"/>
    <mergeCell ref="E85:G85"/>
    <mergeCell ref="C90:D90"/>
    <mergeCell ref="C91:D91"/>
    <mergeCell ref="J30:K30"/>
    <mergeCell ref="M30:N30"/>
    <mergeCell ref="C80:D80"/>
    <mergeCell ref="C81:D81"/>
    <mergeCell ref="C70:D70"/>
    <mergeCell ref="C71:D71"/>
    <mergeCell ref="N95:Q95"/>
    <mergeCell ref="E30:H30"/>
    <mergeCell ref="E75:G75"/>
  </mergeCells>
  <conditionalFormatting sqref="C33:R49 C51:R51">
    <cfRule type="expression" dxfId="59" priority="22">
      <formula>$C33 =$A$3</formula>
    </cfRule>
  </conditionalFormatting>
  <conditionalFormatting sqref="C98:Q115">
    <cfRule type="expression" dxfId="58" priority="21">
      <formula>$C98 = $A$3</formula>
    </cfRule>
  </conditionalFormatting>
  <conditionalFormatting sqref="C122:K135">
    <cfRule type="expression" dxfId="57" priority="20">
      <formula>$C122 = $A$3</formula>
    </cfRule>
  </conditionalFormatting>
  <conditionalFormatting sqref="C50:R50">
    <cfRule type="expression" dxfId="56" priority="13">
      <formula>$C50 =$A$3</formula>
    </cfRule>
  </conditionalFormatting>
  <conditionalFormatting sqref="Q33:R51">
    <cfRule type="cellIs" dxfId="55" priority="7" operator="lessThan">
      <formula>0</formula>
    </cfRule>
  </conditionalFormatting>
  <conditionalFormatting sqref="E60:L60">
    <cfRule type="cellIs" dxfId="54" priority="6" operator="lessThan">
      <formula>0</formula>
    </cfRule>
  </conditionalFormatting>
  <conditionalFormatting sqref="E61:J61">
    <cfRule type="cellIs" dxfId="53" priority="5" operator="lessThan">
      <formula>1</formula>
    </cfRule>
  </conditionalFormatting>
  <conditionalFormatting sqref="E70:K91">
    <cfRule type="cellIs" dxfId="52" priority="4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A3" unlockedFormula="1"/>
  </ignoredErrors>
  <drawing r:id="rId2"/>
  <legacyDrawing r:id="rId3"/>
  <controls>
    <mc:AlternateContent xmlns:mc="http://schemas.openxmlformats.org/markup-compatibility/2006">
      <mc:Choice Requires="x14">
        <control shapeId="13318" r:id="rId4" name="CommandButton2">
          <controlPr defaultSize="0" autoFill="0" autoLine="0" r:id="rId5">
            <anchor moveWithCells="1">
              <from>
                <xdr:col>15</xdr:col>
                <xdr:colOff>285750</xdr:colOff>
                <xdr:row>6</xdr:row>
                <xdr:rowOff>38100</xdr:rowOff>
              </from>
              <to>
                <xdr:col>16</xdr:col>
                <xdr:colOff>904875</xdr:colOff>
                <xdr:row>7</xdr:row>
                <xdr:rowOff>219075</xdr:rowOff>
              </to>
            </anchor>
          </controlPr>
        </control>
      </mc:Choice>
      <mc:Fallback>
        <control shapeId="13318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120"/>
  <dimension ref="A1:AV464"/>
  <sheetViews>
    <sheetView showGridLines="0" showRowColHeaders="0" showZeros="0" zoomScale="85" zoomScaleNormal="85" workbookViewId="0"/>
  </sheetViews>
  <sheetFormatPr defaultRowHeight="15" x14ac:dyDescent="0.25"/>
  <cols>
    <col min="1" max="1" width="3" style="1035" customWidth="1"/>
    <col min="2" max="2" width="1.7109375" style="17" customWidth="1"/>
    <col min="3" max="3" width="9" style="17" customWidth="1"/>
    <col min="4" max="4" width="11.85546875" style="17" customWidth="1"/>
    <col min="5" max="5" width="15.140625" style="17" customWidth="1"/>
    <col min="6" max="6" width="13.28515625" style="17" customWidth="1"/>
    <col min="7" max="8" width="15.5703125" style="17" customWidth="1"/>
    <col min="9" max="9" width="15.85546875" style="17" customWidth="1"/>
    <col min="10" max="10" width="12.140625" style="17" customWidth="1"/>
    <col min="11" max="11" width="11.5703125" style="17" customWidth="1"/>
    <col min="12" max="12" width="14.42578125" style="17" customWidth="1"/>
    <col min="13" max="13" width="12.28515625" style="18" customWidth="1"/>
    <col min="14" max="14" width="11.28515625" style="17" customWidth="1"/>
    <col min="15" max="15" width="14.5703125" style="17" customWidth="1"/>
    <col min="16" max="16" width="15.28515625" style="17" customWidth="1"/>
    <col min="17" max="17" width="13" style="17" customWidth="1"/>
    <col min="18" max="18" width="13.42578125" style="17" customWidth="1"/>
    <col min="19" max="19" width="3.5703125" style="17" customWidth="1"/>
    <col min="20" max="20" width="1.42578125" style="822" customWidth="1"/>
    <col min="21" max="21" width="1.42578125" style="17" customWidth="1"/>
    <col min="22" max="22" width="12.28515625" style="1258" customWidth="1"/>
    <col min="23" max="23" width="11" style="1258" bestFit="1" customWidth="1"/>
    <col min="24" max="25" width="12.140625" style="1258" bestFit="1" customWidth="1"/>
    <col min="26" max="26" width="9.7109375" style="1258" bestFit="1" customWidth="1"/>
    <col min="27" max="29" width="9.140625" style="1258"/>
    <col min="30" max="48" width="9.140625" style="822"/>
    <col min="49" max="16384" width="9.140625" style="17"/>
  </cols>
  <sheetData>
    <row r="1" spans="1:48" ht="16.5" customHeight="1" thickBot="1" x14ac:dyDescent="0.3">
      <c r="A1" s="96"/>
    </row>
    <row r="2" spans="1:48" s="72" customFormat="1" ht="19.5" customHeight="1" x14ac:dyDescent="0.25">
      <c r="A2" s="97"/>
      <c r="B2" s="603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5"/>
      <c r="N2" s="604"/>
      <c r="O2" s="604"/>
      <c r="P2" s="604"/>
      <c r="Q2" s="604"/>
      <c r="R2" s="604"/>
      <c r="S2" s="604"/>
      <c r="T2" s="957"/>
      <c r="V2" s="1259"/>
      <c r="W2" s="1259"/>
      <c r="X2" s="1259"/>
      <c r="Y2" s="1259"/>
      <c r="Z2" s="1259"/>
      <c r="AA2" s="1259"/>
      <c r="AB2" s="1259"/>
      <c r="AC2" s="1259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</row>
    <row r="3" spans="1:48" s="72" customFormat="1" x14ac:dyDescent="0.25">
      <c r="A3" s="178">
        <f ca="1">Параметры!B8</f>
        <v>13</v>
      </c>
      <c r="B3" s="606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70"/>
      <c r="N3" s="469"/>
      <c r="O3" s="469"/>
      <c r="P3" s="469"/>
      <c r="Q3" s="469"/>
      <c r="R3" s="469"/>
      <c r="S3" s="469"/>
      <c r="T3" s="513"/>
      <c r="U3" s="745"/>
      <c r="V3" s="1259"/>
      <c r="W3" s="1259"/>
      <c r="X3" s="1259"/>
      <c r="Y3" s="1259"/>
      <c r="Z3" s="1259"/>
      <c r="AA3" s="1259"/>
      <c r="AB3" s="1259"/>
      <c r="AC3" s="125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</row>
    <row r="4" spans="1:48" s="72" customFormat="1" ht="20.25" customHeight="1" x14ac:dyDescent="0.25">
      <c r="A4" s="97"/>
      <c r="B4" s="606"/>
      <c r="C4" s="469"/>
      <c r="D4" s="469"/>
      <c r="E4" s="469"/>
      <c r="F4" s="469"/>
      <c r="G4" s="469"/>
      <c r="H4" s="469"/>
      <c r="I4" s="469"/>
      <c r="J4" s="469"/>
      <c r="K4" s="469"/>
      <c r="L4" s="469"/>
      <c r="M4" s="470"/>
      <c r="N4" s="469"/>
      <c r="O4" s="469"/>
      <c r="P4" s="469"/>
      <c r="Q4" s="469"/>
      <c r="R4" s="469"/>
      <c r="S4" s="469"/>
      <c r="T4" s="513"/>
      <c r="U4" s="745"/>
      <c r="V4" s="1259"/>
      <c r="W4" s="1259"/>
      <c r="X4" s="1259"/>
      <c r="Y4" s="1259"/>
      <c r="Z4" s="1259"/>
      <c r="AA4" s="1259"/>
      <c r="AB4" s="1259"/>
      <c r="AC4" s="1259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</row>
    <row r="5" spans="1:48" s="72" customFormat="1" ht="20.25" customHeight="1" x14ac:dyDescent="0.25">
      <c r="A5" s="97"/>
      <c r="B5" s="606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70"/>
      <c r="N5" s="469"/>
      <c r="O5" s="469"/>
      <c r="P5" s="469"/>
      <c r="Q5" s="469"/>
      <c r="R5" s="469"/>
      <c r="S5" s="469"/>
      <c r="T5" s="513"/>
      <c r="U5" s="745"/>
      <c r="V5" s="1259"/>
      <c r="W5" s="1259"/>
      <c r="X5" s="1259"/>
      <c r="Y5" s="1259"/>
      <c r="Z5" s="1259"/>
      <c r="AA5" s="1259"/>
      <c r="AB5" s="1259"/>
      <c r="AC5" s="1259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</row>
    <row r="6" spans="1:48" s="72" customFormat="1" ht="20.25" customHeight="1" x14ac:dyDescent="0.25">
      <c r="A6" s="97"/>
      <c r="B6" s="606"/>
      <c r="C6" s="469"/>
      <c r="D6" s="469"/>
      <c r="E6" s="469"/>
      <c r="F6" s="469"/>
      <c r="G6" s="469"/>
      <c r="H6" s="469"/>
      <c r="I6" s="1368" t="str">
        <f xml:space="preserve"> CONCATENATE("Военная пенсия назначена с  ",TEXT('Исходные данные'!J12,"ДД.ММ.ГГГГ"))</f>
        <v>Военная пенсия назначена с  15.08.2008</v>
      </c>
      <c r="J6" s="1362"/>
      <c r="K6" s="1362"/>
      <c r="L6" s="1362"/>
      <c r="M6" s="1370"/>
      <c r="N6" s="469"/>
      <c r="O6" s="469"/>
      <c r="P6" s="469"/>
      <c r="Q6" s="469"/>
      <c r="R6" s="469"/>
      <c r="S6" s="469"/>
      <c r="T6" s="513"/>
      <c r="U6" s="745"/>
      <c r="V6" s="1259"/>
      <c r="W6" s="1259"/>
      <c r="X6" s="1259"/>
      <c r="Y6" s="1259"/>
      <c r="Z6" s="1259"/>
      <c r="AA6" s="1259"/>
      <c r="AB6" s="1259"/>
      <c r="AC6" s="1259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</row>
    <row r="7" spans="1:48" s="72" customFormat="1" ht="6" customHeight="1" x14ac:dyDescent="0.25">
      <c r="A7" s="97"/>
      <c r="B7" s="606"/>
      <c r="C7" s="469"/>
      <c r="D7" s="469"/>
      <c r="E7" s="469"/>
      <c r="F7" s="469"/>
      <c r="G7" s="469"/>
      <c r="H7" s="469"/>
      <c r="I7" s="469"/>
      <c r="J7" s="469"/>
      <c r="K7" s="469"/>
      <c r="L7" s="469"/>
      <c r="M7" s="470"/>
      <c r="N7" s="469"/>
      <c r="O7" s="469"/>
      <c r="P7" s="469"/>
      <c r="Q7" s="469"/>
      <c r="R7" s="469"/>
      <c r="S7" s="469"/>
      <c r="T7" s="513"/>
      <c r="U7" s="745"/>
      <c r="V7" s="1259"/>
      <c r="W7" s="1259"/>
      <c r="X7" s="1259"/>
      <c r="Y7" s="1259"/>
      <c r="Z7" s="1259"/>
      <c r="AA7" s="1259"/>
      <c r="AB7" s="1259"/>
      <c r="AC7" s="1259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</row>
    <row r="8" spans="1:48" s="72" customFormat="1" ht="15" customHeight="1" x14ac:dyDescent="0.25">
      <c r="A8" s="97"/>
      <c r="B8" s="606"/>
      <c r="C8" s="469"/>
      <c r="D8" s="1104" t="s">
        <v>14</v>
      </c>
      <c r="E8" s="1105"/>
      <c r="F8" s="1375" t="str">
        <f>'Исходные данные'!E14</f>
        <v>Подполковник</v>
      </c>
      <c r="G8" s="1373"/>
      <c r="H8" s="1085" t="s">
        <v>278</v>
      </c>
      <c r="I8" s="1106">
        <f>'Исходные данные'!J14</f>
        <v>22</v>
      </c>
      <c r="J8" s="1085" t="s">
        <v>166</v>
      </c>
      <c r="K8" s="1107">
        <f>'Исходные данные'!J16</f>
        <v>1</v>
      </c>
      <c r="L8" s="1104" t="s">
        <v>38</v>
      </c>
      <c r="M8" s="1108">
        <f>'Исходные данные'!N16</f>
        <v>0.8</v>
      </c>
      <c r="N8" s="1085" t="s">
        <v>165</v>
      </c>
      <c r="O8" s="1107">
        <f>'Исходные данные'!J18</f>
        <v>1</v>
      </c>
      <c r="P8" s="744"/>
      <c r="Q8" s="469"/>
      <c r="R8" s="469"/>
      <c r="S8" s="469"/>
      <c r="T8" s="513"/>
      <c r="U8" s="745"/>
      <c r="V8" s="1259"/>
      <c r="W8" s="1259"/>
      <c r="X8" s="1259"/>
      <c r="Y8" s="1259"/>
      <c r="Z8" s="1259"/>
      <c r="AA8" s="1259"/>
      <c r="AB8" s="1259"/>
      <c r="AC8" s="1259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</row>
    <row r="9" spans="1:48" s="72" customFormat="1" ht="6" customHeight="1" x14ac:dyDescent="0.25">
      <c r="A9" s="97"/>
      <c r="B9" s="606"/>
      <c r="C9" s="469"/>
      <c r="D9" s="469"/>
      <c r="E9" s="469"/>
      <c r="F9" s="861"/>
      <c r="G9" s="469"/>
      <c r="H9" s="820"/>
      <c r="I9" s="820"/>
      <c r="J9" s="820"/>
      <c r="K9" s="820"/>
      <c r="L9" s="820"/>
      <c r="M9" s="842"/>
      <c r="N9" s="820"/>
      <c r="O9" s="820"/>
      <c r="P9" s="820"/>
      <c r="Q9" s="469"/>
      <c r="R9" s="469"/>
      <c r="S9" s="469"/>
      <c r="T9" s="513"/>
      <c r="U9" s="745"/>
      <c r="V9" s="1259"/>
      <c r="W9" s="1259"/>
      <c r="X9" s="1259"/>
      <c r="Y9" s="1259"/>
      <c r="Z9" s="1259"/>
      <c r="AA9" s="1259"/>
      <c r="AB9" s="1259"/>
      <c r="AC9" s="1259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</row>
    <row r="10" spans="1:48" s="72" customFormat="1" ht="16.5" customHeight="1" x14ac:dyDescent="0.25">
      <c r="A10" s="97"/>
      <c r="B10" s="606"/>
      <c r="C10" s="469"/>
      <c r="D10" s="744"/>
      <c r="E10" s="744"/>
      <c r="F10" s="744"/>
      <c r="G10" s="744"/>
      <c r="H10" s="744"/>
      <c r="I10" s="744"/>
      <c r="J10" s="744"/>
      <c r="K10" s="744"/>
      <c r="L10" s="744"/>
      <c r="M10" s="1087"/>
      <c r="N10" s="744"/>
      <c r="O10" s="744"/>
      <c r="P10" s="744"/>
      <c r="Q10" s="1067"/>
      <c r="R10" s="1067"/>
      <c r="S10" s="469"/>
      <c r="T10" s="513"/>
      <c r="U10" s="745"/>
      <c r="V10" s="1259"/>
      <c r="W10" s="1259"/>
      <c r="X10" s="1259"/>
      <c r="Y10" s="1259"/>
      <c r="Z10" s="1259"/>
      <c r="AA10" s="1259"/>
      <c r="AB10" s="1259"/>
      <c r="AC10" s="1259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</row>
    <row r="11" spans="1:48" s="72" customFormat="1" ht="16.5" customHeight="1" x14ac:dyDescent="0.25">
      <c r="A11" s="97"/>
      <c r="B11" s="606"/>
      <c r="C11" s="469"/>
      <c r="D11" s="744"/>
      <c r="E11" s="744"/>
      <c r="F11" s="744"/>
      <c r="G11" s="744"/>
      <c r="H11" s="744"/>
      <c r="I11" s="1368" t="str">
        <f xml:space="preserve">  CONCATENATE("Военная пенсия на  ",TEXT('Исходные данные'!J12,"ДД.ММ.ГГГГ"))</f>
        <v>Военная пенсия на  15.08.2008</v>
      </c>
      <c r="J11" s="1362"/>
      <c r="K11" s="1362"/>
      <c r="L11" s="1385"/>
      <c r="M11" s="1376"/>
      <c r="N11" s="744"/>
      <c r="O11" s="744"/>
      <c r="P11" s="744"/>
      <c r="Q11" s="1067"/>
      <c r="R11" s="1067"/>
      <c r="S11" s="469"/>
      <c r="T11" s="513"/>
      <c r="U11" s="745"/>
      <c r="V11" s="1259"/>
      <c r="W11" s="1259"/>
      <c r="X11" s="1259"/>
      <c r="Y11" s="1259"/>
      <c r="Z11" s="1259"/>
      <c r="AA11" s="1259"/>
      <c r="AB11" s="1259"/>
      <c r="AC11" s="1259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</row>
    <row r="12" spans="1:48" s="72" customFormat="1" ht="5.25" customHeight="1" x14ac:dyDescent="0.25">
      <c r="A12" s="97"/>
      <c r="B12" s="606"/>
      <c r="C12" s="469"/>
      <c r="D12" s="446"/>
      <c r="E12" s="1069"/>
      <c r="F12" s="744"/>
      <c r="G12" s="446"/>
      <c r="H12" s="1067"/>
      <c r="I12" s="1067"/>
      <c r="J12" s="446"/>
      <c r="K12" s="446"/>
      <c r="L12" s="446"/>
      <c r="M12" s="1082"/>
      <c r="N12" s="1072"/>
      <c r="O12" s="1073"/>
      <c r="P12" s="1137"/>
      <c r="Q12" s="1071"/>
      <c r="R12" s="1067"/>
      <c r="S12" s="469"/>
      <c r="T12" s="513"/>
      <c r="U12" s="745"/>
      <c r="V12" s="1259"/>
      <c r="W12" s="1259"/>
      <c r="X12" s="1259"/>
      <c r="Y12" s="1259"/>
      <c r="Z12" s="1259"/>
      <c r="AA12" s="1259"/>
      <c r="AB12" s="1259"/>
      <c r="AC12" s="1259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</row>
    <row r="13" spans="1:48" s="72" customFormat="1" ht="18" customHeight="1" x14ac:dyDescent="0.25">
      <c r="A13" s="97"/>
      <c r="B13" s="606"/>
      <c r="C13" s="469"/>
      <c r="D13" s="1088" t="s">
        <v>279</v>
      </c>
      <c r="E13" s="1089">
        <f ca="1" xml:space="preserve"> VLOOKUP(Параметры!B7,__ВПрасч1,7,0)</f>
        <v>42560</v>
      </c>
      <c r="F13" s="1088" t="s">
        <v>1</v>
      </c>
      <c r="G13" s="1090">
        <f ca="1">VLOOKUP(Параметры!$B$7,__Периоды,3,0)</f>
        <v>0.54</v>
      </c>
      <c r="H13" s="1095" t="s">
        <v>280</v>
      </c>
      <c r="I13" s="1089">
        <f ca="1">$E$13*$G$13</f>
        <v>22982.400000000001</v>
      </c>
      <c r="J13" s="1085" t="s">
        <v>228</v>
      </c>
      <c r="K13" s="1090">
        <f ca="1">VLOOKUP(Параметры!$B$7,__Периоды,10,0)</f>
        <v>0</v>
      </c>
      <c r="L13" s="1088" t="s">
        <v>239</v>
      </c>
      <c r="M13" s="1089">
        <f ca="1">ROUND(I13*$K$13,2)</f>
        <v>0</v>
      </c>
      <c r="N13" s="1088" t="s">
        <v>229</v>
      </c>
      <c r="O13" s="1089">
        <f ca="1">$I$13+M13</f>
        <v>22982.400000000001</v>
      </c>
      <c r="P13" s="744"/>
      <c r="Q13" s="744"/>
      <c r="R13" s="446"/>
      <c r="S13" s="469"/>
      <c r="T13" s="513"/>
      <c r="U13" s="745"/>
      <c r="V13" s="1259"/>
      <c r="W13" s="1259"/>
      <c r="X13" s="1259"/>
      <c r="Y13" s="1259"/>
      <c r="Z13" s="1259"/>
      <c r="AA13" s="1259"/>
      <c r="AB13" s="1259"/>
      <c r="AC13" s="1259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48" s="72" customFormat="1" ht="9.75" customHeight="1" x14ac:dyDescent="0.25">
      <c r="A14" s="97"/>
      <c r="B14" s="606"/>
      <c r="C14" s="469"/>
      <c r="D14" s="446"/>
      <c r="E14" s="1069"/>
      <c r="F14" s="744"/>
      <c r="G14" s="446"/>
      <c r="H14" s="1067"/>
      <c r="I14" s="1067"/>
      <c r="J14" s="446"/>
      <c r="K14" s="446"/>
      <c r="L14" s="446"/>
      <c r="M14" s="1082"/>
      <c r="N14" s="1072"/>
      <c r="O14" s="1073"/>
      <c r="P14" s="1091"/>
      <c r="Q14" s="1071"/>
      <c r="R14" s="1067"/>
      <c r="S14" s="469"/>
      <c r="T14" s="513"/>
      <c r="U14" s="745"/>
      <c r="V14" s="1259"/>
      <c r="W14" s="1259"/>
      <c r="X14" s="1259"/>
      <c r="Y14" s="1259"/>
      <c r="Z14" s="1259"/>
      <c r="AA14" s="1259"/>
      <c r="AB14" s="1259"/>
      <c r="AC14" s="1259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</row>
    <row r="15" spans="1:48" s="72" customFormat="1" ht="18" customHeight="1" x14ac:dyDescent="0.25">
      <c r="A15" s="97"/>
      <c r="B15" s="606"/>
      <c r="C15" s="469"/>
      <c r="D15" s="744"/>
      <c r="E15" s="744"/>
      <c r="F15" s="744"/>
      <c r="G15" s="744"/>
      <c r="H15" s="744"/>
      <c r="I15" s="1361" t="str">
        <f ca="1" xml:space="preserve">  CONCATENATE("Военная пенсия на ",TEXT(TODAY(),"ДД.ММ.ГГГГ"))</f>
        <v>Военная пенсия на 13.04.2022</v>
      </c>
      <c r="J15" s="1386"/>
      <c r="K15" s="1386"/>
      <c r="L15" s="1385"/>
      <c r="M15" s="1376"/>
      <c r="N15" s="744"/>
      <c r="O15" s="744"/>
      <c r="P15" s="744"/>
      <c r="Q15" s="744"/>
      <c r="R15" s="744"/>
      <c r="S15" s="820"/>
      <c r="T15" s="513"/>
      <c r="U15" s="745"/>
      <c r="V15" s="1259"/>
      <c r="W15" s="1259"/>
      <c r="X15" s="1259"/>
      <c r="Y15" s="1259"/>
      <c r="Z15" s="1259"/>
      <c r="AA15" s="1259"/>
      <c r="AB15" s="1259"/>
      <c r="AC15" s="1259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</row>
    <row r="16" spans="1:48" s="72" customFormat="1" ht="4.5" customHeight="1" x14ac:dyDescent="0.25">
      <c r="A16" s="97"/>
      <c r="B16" s="606"/>
      <c r="C16" s="469"/>
      <c r="D16" s="446"/>
      <c r="E16" s="1069"/>
      <c r="F16" s="744"/>
      <c r="G16" s="446"/>
      <c r="H16" s="1067"/>
      <c r="I16" s="1067"/>
      <c r="J16" s="446"/>
      <c r="K16" s="446"/>
      <c r="L16" s="446"/>
      <c r="M16" s="1082"/>
      <c r="N16" s="1072"/>
      <c r="O16" s="1073"/>
      <c r="P16" s="1137"/>
      <c r="Q16" s="1071"/>
      <c r="R16" s="1067"/>
      <c r="S16" s="469"/>
      <c r="T16" s="513"/>
      <c r="U16" s="745"/>
      <c r="V16" s="1259"/>
      <c r="W16" s="1259"/>
      <c r="X16" s="1259"/>
      <c r="Y16" s="1259"/>
      <c r="Z16" s="1259"/>
      <c r="AA16" s="1259"/>
      <c r="AB16" s="1259"/>
      <c r="AC16" s="1259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</row>
    <row r="17" spans="1:48" s="72" customFormat="1" ht="18" customHeight="1" x14ac:dyDescent="0.25">
      <c r="A17" s="97"/>
      <c r="B17" s="606"/>
      <c r="C17" s="1091"/>
      <c r="D17" s="1088" t="s">
        <v>279</v>
      </c>
      <c r="E17" s="1126">
        <f ca="1" xml:space="preserve"> VLOOKUP(Параметры!B8,__ВПрасч1,7,0)</f>
        <v>49313.599999999999</v>
      </c>
      <c r="F17" s="1088" t="s">
        <v>1</v>
      </c>
      <c r="G17" s="1127">
        <f ca="1">VLOOKUP(Параметры!$B$8,__Периоды,3,0)</f>
        <v>0.74</v>
      </c>
      <c r="H17" s="1095" t="s">
        <v>280</v>
      </c>
      <c r="I17" s="1126">
        <f ca="1">$E$17*$G$17</f>
        <v>36492.063999999998</v>
      </c>
      <c r="J17" s="1085" t="s">
        <v>228</v>
      </c>
      <c r="K17" s="1127">
        <f ca="1">VLOOKUP(Параметры!$B$8,__Периоды,10,0)</f>
        <v>8.5999999999999993E-2</v>
      </c>
      <c r="L17" s="1088" t="s">
        <v>239</v>
      </c>
      <c r="M17" s="1126">
        <f ca="1">ROUND(I17*$K$17,2)</f>
        <v>3138.32</v>
      </c>
      <c r="N17" s="1088" t="s">
        <v>229</v>
      </c>
      <c r="O17" s="1126">
        <f ca="1">$I$17+M17</f>
        <v>39630.383999999998</v>
      </c>
      <c r="P17" s="1088" t="s">
        <v>281</v>
      </c>
      <c r="Q17" s="1126">
        <f ca="1">(VLOOKUP(Параметры!$B$8,__ВПрасч1,5,0) + VLOOKUP(Параметры!$B$8,__ВПрасч1,6,0)) * 1.4 *'Исходные данные'!$N$18 *G17 *$O$8 +ROUND((VLOOKUP(Параметры!$B$8,__ВПрасч1,5,0) + VLOOKUP(Параметры!$B$8,__ВПрасч1,6,0)) * 1.4 *'Исходные данные'!$N$18 *G17 *K17*$O$8,2)</f>
        <v>19815.191999999999</v>
      </c>
      <c r="R17" s="1066"/>
      <c r="S17" s="1109"/>
      <c r="T17" s="513"/>
      <c r="U17" s="745"/>
      <c r="V17" s="1259"/>
      <c r="W17" s="1259"/>
      <c r="X17" s="1259"/>
      <c r="Y17" s="1259"/>
      <c r="Z17" s="1259"/>
      <c r="AA17" s="1259"/>
      <c r="AB17" s="1259"/>
      <c r="AC17" s="1259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</row>
    <row r="18" spans="1:48" s="72" customFormat="1" ht="18" customHeight="1" x14ac:dyDescent="0.25">
      <c r="A18" s="97"/>
      <c r="B18" s="606"/>
      <c r="C18" s="1137"/>
      <c r="D18" s="1137"/>
      <c r="E18" s="1086"/>
      <c r="F18" s="1080"/>
      <c r="G18" s="860"/>
      <c r="H18" s="860"/>
      <c r="I18" s="860"/>
      <c r="J18" s="860"/>
      <c r="K18" s="860"/>
      <c r="L18" s="860"/>
      <c r="M18" s="1078"/>
      <c r="N18" s="1079"/>
      <c r="O18" s="1080"/>
      <c r="P18" s="1081"/>
      <c r="Q18" s="1066"/>
      <c r="R18" s="1066"/>
      <c r="S18" s="1109"/>
      <c r="T18" s="513"/>
      <c r="U18" s="745"/>
      <c r="V18" s="1259"/>
      <c r="W18" s="1259"/>
      <c r="X18" s="1259"/>
      <c r="Y18" s="1259"/>
      <c r="Z18" s="1259"/>
      <c r="AA18" s="1259"/>
      <c r="AB18" s="1259"/>
      <c r="AC18" s="1259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</row>
    <row r="19" spans="1:48" s="72" customFormat="1" ht="18" customHeight="1" x14ac:dyDescent="0.25">
      <c r="A19" s="97"/>
      <c r="B19" s="606"/>
      <c r="C19" s="446"/>
      <c r="D19" s="446"/>
      <c r="E19" s="446"/>
      <c r="F19" s="446"/>
      <c r="G19" s="446"/>
      <c r="H19" s="446"/>
      <c r="I19" s="1368" t="str">
        <f ca="1" xml:space="preserve"> CONCATENATE("Перерасчет военная пенсии с  ",TEXT(VLOOKUP(Параметры!B9,__ВПрасч1,2,0),"ДД.ММ.ГГГГ"))</f>
        <v>Перерасчет военная пенсии с  01.10.2022</v>
      </c>
      <c r="J19" s="1369"/>
      <c r="K19" s="1369"/>
      <c r="L19" s="1369"/>
      <c r="M19" s="1370"/>
      <c r="N19" s="446"/>
      <c r="O19" s="446"/>
      <c r="P19" s="446"/>
      <c r="Q19" s="446"/>
      <c r="R19" s="446"/>
      <c r="S19" s="1109"/>
      <c r="T19" s="513"/>
      <c r="U19" s="745"/>
      <c r="V19" s="1259"/>
      <c r="W19" s="1259"/>
      <c r="X19" s="1259"/>
      <c r="Y19" s="1259"/>
      <c r="Z19" s="1259"/>
      <c r="AA19" s="1259"/>
      <c r="AB19" s="1259"/>
      <c r="AC19" s="1259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</row>
    <row r="20" spans="1:48" s="72" customFormat="1" ht="4.5" customHeight="1" x14ac:dyDescent="0.25">
      <c r="A20" s="97"/>
      <c r="B20" s="606"/>
      <c r="C20" s="1366"/>
      <c r="D20" s="1366"/>
      <c r="E20" s="1086"/>
      <c r="F20" s="1092"/>
      <c r="G20" s="1071"/>
      <c r="H20" s="848"/>
      <c r="I20" s="848"/>
      <c r="J20" s="848"/>
      <c r="K20" s="848"/>
      <c r="L20" s="848"/>
      <c r="M20" s="848"/>
      <c r="N20" s="848"/>
      <c r="O20" s="848"/>
      <c r="P20" s="848"/>
      <c r="Q20" s="848"/>
      <c r="R20" s="848"/>
      <c r="S20" s="469"/>
      <c r="T20" s="513"/>
      <c r="U20" s="745"/>
      <c r="V20" s="1259"/>
      <c r="W20" s="1259"/>
      <c r="X20" s="1259"/>
      <c r="Y20" s="1259"/>
      <c r="Z20" s="1259"/>
      <c r="AA20" s="1259"/>
      <c r="AB20" s="1259"/>
      <c r="AC20" s="1259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</row>
    <row r="21" spans="1:48" s="72" customFormat="1" ht="18" customHeight="1" x14ac:dyDescent="0.25">
      <c r="A21" s="97"/>
      <c r="B21" s="606"/>
      <c r="C21" s="469"/>
      <c r="D21" s="1297"/>
      <c r="E21" s="1374" t="str">
        <f ca="1">IF(E24&gt;0,CONCATENATE("Индексация ОДС на ",TEXT(E24,"0,00%")),"")</f>
        <v>Индексация ОДС на 4,00%</v>
      </c>
      <c r="F21" s="1347"/>
      <c r="G21" s="1347"/>
      <c r="H21" s="1346" t="str">
        <f ca="1">IF(G23&gt;G17,CONCATENATE("Изменение КК до ",TEXT(G23,"0,00%")),"")</f>
        <v>Изменение КК до 77,41%</v>
      </c>
      <c r="I21" s="1372"/>
      <c r="J21" s="1372"/>
      <c r="K21" s="1346" t="str">
        <f ca="1">IF(I24&gt;0,CONCATENATE("Изменение ВПназ на ",TEXT(I24,"0,00%")),"")</f>
        <v>Изменение ВПназ на 8,79%</v>
      </c>
      <c r="L21" s="1347"/>
      <c r="M21" s="1347"/>
      <c r="N21" s="1346" t="str">
        <f ca="1">IF(O24=0," ",CONCATENATE("Изменение выплаты на ",TEXT(O24,"0,00%")))</f>
        <v>Изменение выплаты на 0,18%</v>
      </c>
      <c r="O21" s="1347"/>
      <c r="P21" s="1348"/>
      <c r="Q21" s="87"/>
      <c r="R21" s="1110"/>
      <c r="S21" s="1111"/>
      <c r="T21" s="513"/>
      <c r="U21" s="745"/>
      <c r="V21" s="1259"/>
      <c r="W21" s="1259"/>
      <c r="X21" s="1259"/>
      <c r="Y21" s="1259"/>
      <c r="Z21" s="1259"/>
      <c r="AA21" s="1259"/>
      <c r="AB21" s="1259"/>
      <c r="AC21" s="1259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</row>
    <row r="22" spans="1:48" s="72" customFormat="1" ht="3.75" customHeight="1" x14ac:dyDescent="0.25">
      <c r="A22" s="97"/>
      <c r="B22" s="606"/>
      <c r="C22" s="469"/>
      <c r="D22" s="1111"/>
      <c r="E22" s="1111"/>
      <c r="F22" s="1066"/>
      <c r="G22" s="1072"/>
      <c r="H22" s="1077"/>
      <c r="I22" s="1072"/>
      <c r="J22" s="1077"/>
      <c r="K22" s="1072"/>
      <c r="L22" s="1077"/>
      <c r="M22" s="1072"/>
      <c r="N22" s="1077"/>
      <c r="O22" s="1072"/>
      <c r="P22" s="1077"/>
      <c r="Q22" s="1084"/>
      <c r="R22" s="848"/>
      <c r="S22" s="1111"/>
      <c r="T22" s="513"/>
      <c r="U22" s="745"/>
      <c r="V22" s="1259"/>
      <c r="W22" s="1259"/>
      <c r="X22" s="1259"/>
      <c r="Y22" s="1259"/>
      <c r="Z22" s="1259"/>
      <c r="AA22" s="1259"/>
      <c r="AB22" s="1259"/>
      <c r="AC22" s="1259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</row>
    <row r="23" spans="1:48" s="72" customFormat="1" ht="18" customHeight="1" x14ac:dyDescent="0.25">
      <c r="A23" s="97"/>
      <c r="B23" s="606"/>
      <c r="C23" s="469"/>
      <c r="D23" s="1088" t="s">
        <v>279</v>
      </c>
      <c r="E23" s="1089">
        <f ca="1" xml:space="preserve"> VLOOKUP(Параметры!B9,__ВПрасч1,7,0)</f>
        <v>51287.040000000001</v>
      </c>
      <c r="F23" s="1088" t="s">
        <v>1</v>
      </c>
      <c r="G23" s="1090">
        <f ca="1">VLOOKUP(Параметры!$B$9,__Периоды,3,0)</f>
        <v>0.77410000000000001</v>
      </c>
      <c r="H23" s="1088" t="s">
        <v>280</v>
      </c>
      <c r="I23" s="1089">
        <f ca="1">$E$23*$G$23</f>
        <v>39701.297663999998</v>
      </c>
      <c r="J23" s="1085" t="s">
        <v>228</v>
      </c>
      <c r="K23" s="1090">
        <f ca="1">VLOOKUP(Параметры!$B$9,__Периоды,10,0)</f>
        <v>0</v>
      </c>
      <c r="L23" s="1088" t="s">
        <v>239</v>
      </c>
      <c r="M23" s="1089">
        <f ca="1">ROUND(I23*K23,2)</f>
        <v>0</v>
      </c>
      <c r="N23" s="1088" t="s">
        <v>229</v>
      </c>
      <c r="O23" s="1089">
        <f ca="1">I23+M23</f>
        <v>39701.297663999998</v>
      </c>
      <c r="P23" s="1088" t="s">
        <v>281</v>
      </c>
      <c r="Q23" s="1126">
        <f ca="1">(VLOOKUP(Параметры!$B$9,__ВПрасч1,5,0) + VLOOKUP(Параметры!$B$9,__ВПрасч1,6,0)) * 1.4 *'Исходные данные'!$N$18 *G23 *$O$8 +ROUND((VLOOKUP(Параметры!$B$9,__ВПрасч1,5,0) + VLOOKUP(Параметры!$B$9,__ВПрасч1,6,0)) * 1.4 *'Исходные данные'!$N$18 *G23 *K23*$O$8,2)</f>
        <v>19850.648831999999</v>
      </c>
      <c r="R23" s="1112"/>
      <c r="S23" s="1112"/>
      <c r="T23" s="513"/>
      <c r="U23" s="745"/>
      <c r="V23" s="1259"/>
      <c r="W23" s="1259"/>
      <c r="X23" s="1259"/>
      <c r="Y23" s="1259"/>
      <c r="Z23" s="1259"/>
      <c r="AA23" s="1259"/>
      <c r="AB23" s="1259"/>
      <c r="AC23" s="1259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</row>
    <row r="24" spans="1:48" s="72" customFormat="1" ht="5.25" customHeight="1" x14ac:dyDescent="0.25">
      <c r="A24" s="97"/>
      <c r="B24" s="606"/>
      <c r="C24" s="469"/>
      <c r="D24" s="1111"/>
      <c r="E24" s="723">
        <f ca="1">E23/E17 - 1</f>
        <v>4.0018169429934192E-2</v>
      </c>
      <c r="F24" s="446"/>
      <c r="G24" s="1093"/>
      <c r="H24" s="1093"/>
      <c r="I24" s="1093">
        <f ca="1">I23/I17 - 1</f>
        <v>8.7943331021232529E-2</v>
      </c>
      <c r="J24" s="1093"/>
      <c r="K24" s="1093"/>
      <c r="L24" s="1093"/>
      <c r="M24" s="1094"/>
      <c r="N24" s="1093"/>
      <c r="O24" s="1093">
        <f ca="1" xml:space="preserve"> O23/O17 - 1</f>
        <v>1.7893761513891882E-3</v>
      </c>
      <c r="P24" s="446"/>
      <c r="Q24" s="446"/>
      <c r="R24" s="1113"/>
      <c r="S24" s="945"/>
      <c r="T24" s="513"/>
      <c r="U24" s="745"/>
      <c r="V24" s="1259"/>
      <c r="W24" s="1259"/>
      <c r="X24" s="1259"/>
      <c r="Y24" s="1259"/>
      <c r="Z24" s="1259"/>
      <c r="AA24" s="1259"/>
      <c r="AB24" s="1259"/>
      <c r="AC24" s="1259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</row>
    <row r="25" spans="1:48" s="72" customFormat="1" ht="18" customHeight="1" x14ac:dyDescent="0.25">
      <c r="A25" s="97"/>
      <c r="B25" s="606"/>
      <c r="C25" s="469"/>
      <c r="D25" s="1111"/>
      <c r="E25" s="1111"/>
      <c r="F25" s="1364"/>
      <c r="G25" s="1365"/>
      <c r="H25" s="1163"/>
      <c r="I25" s="1371" t="str">
        <f ca="1" xml:space="preserve"> IF(Параметры!$B$90 &lt; 1, CONCATENATE("До изменения военной пенсии осталось  ",Параметры!C90," мес.   ",Параметры!D90," дн."), CONCATENATE("До изменения военной пенсии  осталось   ",Параметры!C90," г.    ",Параметры!C90," мес.   ",Параметры!D90," дн."))</f>
        <v>До изменения военной пенсии осталось  5 мес.   17 дн.</v>
      </c>
      <c r="J25" s="1372"/>
      <c r="K25" s="1372"/>
      <c r="L25" s="1372"/>
      <c r="M25" s="1373"/>
      <c r="N25" s="89"/>
      <c r="O25" s="87"/>
      <c r="P25" s="87"/>
      <c r="Q25" s="87"/>
      <c r="R25" s="1114"/>
      <c r="S25" s="1115"/>
      <c r="T25" s="513"/>
      <c r="U25" s="745"/>
      <c r="V25" s="1259"/>
      <c r="W25" s="1259"/>
      <c r="X25" s="1259"/>
      <c r="Y25" s="1259"/>
      <c r="Z25" s="1259"/>
      <c r="AA25" s="1259"/>
      <c r="AB25" s="1259"/>
      <c r="AC25" s="1259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</row>
    <row r="26" spans="1:48" s="72" customFormat="1" ht="11.25" customHeight="1" x14ac:dyDescent="0.25">
      <c r="A26" s="97"/>
      <c r="B26" s="606"/>
      <c r="C26" s="469"/>
      <c r="D26" s="469"/>
      <c r="E26" s="469"/>
      <c r="F26" s="469"/>
      <c r="G26" s="469"/>
      <c r="H26" s="820"/>
      <c r="I26" s="820"/>
      <c r="J26" s="820"/>
      <c r="K26" s="843"/>
      <c r="L26" s="844"/>
      <c r="M26" s="845"/>
      <c r="N26" s="846"/>
      <c r="O26" s="820"/>
      <c r="P26" s="820"/>
      <c r="Q26" s="469"/>
      <c r="R26" s="469"/>
      <c r="S26" s="469"/>
      <c r="T26" s="513"/>
      <c r="U26" s="745"/>
      <c r="V26" s="1259"/>
      <c r="W26" s="1259"/>
      <c r="X26" s="1259"/>
      <c r="Y26" s="1259"/>
      <c r="Z26" s="1259"/>
      <c r="AA26" s="1259"/>
      <c r="AB26" s="1259"/>
      <c r="AC26" s="1259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</row>
    <row r="27" spans="1:48" s="72" customFormat="1" ht="5.25" customHeight="1" x14ac:dyDescent="0.25">
      <c r="A27" s="97"/>
      <c r="B27" s="649"/>
      <c r="C27" s="650"/>
      <c r="D27" s="650"/>
      <c r="E27" s="650"/>
      <c r="F27" s="650"/>
      <c r="G27" s="650"/>
      <c r="H27" s="650"/>
      <c r="I27" s="650"/>
      <c r="J27" s="650"/>
      <c r="K27" s="650"/>
      <c r="L27" s="650"/>
      <c r="M27" s="650"/>
      <c r="N27" s="650"/>
      <c r="O27" s="650"/>
      <c r="P27" s="650"/>
      <c r="Q27" s="650"/>
      <c r="R27" s="650"/>
      <c r="S27" s="650"/>
      <c r="T27" s="652"/>
      <c r="U27" s="745"/>
      <c r="V27" s="1259"/>
      <c r="W27" s="1259"/>
      <c r="X27" s="1259"/>
      <c r="Y27" s="1259"/>
      <c r="Z27" s="1259"/>
      <c r="AA27" s="1259"/>
      <c r="AB27" s="1259"/>
      <c r="AC27" s="1259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</row>
    <row r="28" spans="1:48" s="72" customFormat="1" ht="15.75" x14ac:dyDescent="0.25">
      <c r="A28" s="97"/>
      <c r="B28" s="606"/>
      <c r="C28" s="469"/>
      <c r="D28" s="469"/>
      <c r="E28" s="469"/>
      <c r="F28" s="469"/>
      <c r="G28" s="469"/>
      <c r="H28" s="469"/>
      <c r="I28" s="469"/>
      <c r="J28" s="469"/>
      <c r="K28" s="472"/>
      <c r="L28" s="473"/>
      <c r="M28" s="474"/>
      <c r="N28" s="475"/>
      <c r="O28" s="469"/>
      <c r="P28" s="469"/>
      <c r="Q28" s="469"/>
      <c r="R28" s="469"/>
      <c r="S28" s="469"/>
      <c r="T28" s="513"/>
      <c r="U28" s="745"/>
      <c r="V28" s="1259"/>
      <c r="W28" s="1259"/>
      <c r="X28" s="1259"/>
      <c r="Y28" s="1259"/>
      <c r="Z28" s="1259"/>
      <c r="AA28" s="1259"/>
      <c r="AB28" s="1259"/>
      <c r="AC28" s="1259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</row>
    <row r="29" spans="1:48" s="91" customFormat="1" ht="13.5" customHeight="1" x14ac:dyDescent="0.25">
      <c r="A29" s="98"/>
      <c r="B29" s="541"/>
      <c r="C29" s="476"/>
      <c r="D29" s="477" t="s">
        <v>157</v>
      </c>
      <c r="E29" s="478"/>
      <c r="F29" s="479" t="s">
        <v>152</v>
      </c>
      <c r="G29" s="479"/>
      <c r="H29" s="479"/>
      <c r="I29" s="479"/>
      <c r="J29" s="480"/>
      <c r="K29" s="476"/>
      <c r="L29" s="476"/>
      <c r="M29" s="481"/>
      <c r="N29" s="482"/>
      <c r="O29" s="476"/>
      <c r="P29" s="476"/>
      <c r="Q29" s="476"/>
      <c r="R29" s="476"/>
      <c r="S29" s="476"/>
      <c r="T29" s="483"/>
      <c r="U29" s="778"/>
      <c r="V29" s="1260"/>
      <c r="W29" s="1260"/>
      <c r="X29" s="1260"/>
      <c r="Y29" s="1260"/>
      <c r="Z29" s="1260"/>
      <c r="AA29" s="1260"/>
      <c r="AB29" s="1260"/>
      <c r="AC29" s="1260"/>
    </row>
    <row r="30" spans="1:48" s="90" customFormat="1" ht="7.5" customHeight="1" thickBot="1" x14ac:dyDescent="0.3">
      <c r="A30" s="179"/>
      <c r="B30" s="543"/>
      <c r="C30" s="484"/>
      <c r="D30" s="484"/>
      <c r="E30" s="485"/>
      <c r="F30" s="485"/>
      <c r="G30" s="484"/>
      <c r="H30" s="484"/>
      <c r="I30" s="484"/>
      <c r="J30" s="486"/>
      <c r="K30" s="487"/>
      <c r="L30" s="487"/>
      <c r="M30" s="488"/>
      <c r="N30" s="489"/>
      <c r="O30" s="487"/>
      <c r="P30" s="487"/>
      <c r="Q30" s="487"/>
      <c r="R30" s="487"/>
      <c r="S30" s="487"/>
      <c r="T30" s="513"/>
      <c r="U30" s="779"/>
      <c r="V30" s="1259"/>
      <c r="W30" s="1259"/>
      <c r="X30" s="1259"/>
      <c r="Y30" s="1259"/>
      <c r="Z30" s="1259"/>
      <c r="AA30" s="1259"/>
      <c r="AB30" s="1259"/>
      <c r="AC30" s="1259"/>
    </row>
    <row r="31" spans="1:48" s="93" customFormat="1" ht="13.5" customHeight="1" x14ac:dyDescent="0.25">
      <c r="A31" s="181">
        <f ca="1">COUNT(C35:C44)</f>
        <v>9</v>
      </c>
      <c r="B31" s="607"/>
      <c r="C31" s="608" t="s">
        <v>2</v>
      </c>
      <c r="D31" s="490" t="s">
        <v>0</v>
      </c>
      <c r="E31" s="1349" t="s">
        <v>192</v>
      </c>
      <c r="F31" s="1350"/>
      <c r="G31" s="1350"/>
      <c r="H31" s="1354"/>
      <c r="I31" s="490" t="s">
        <v>36</v>
      </c>
      <c r="J31" s="1349" t="s">
        <v>143</v>
      </c>
      <c r="K31" s="1354"/>
      <c r="L31" s="490" t="s">
        <v>31</v>
      </c>
      <c r="M31" s="1349" t="s">
        <v>144</v>
      </c>
      <c r="N31" s="1354"/>
      <c r="O31" s="490" t="s">
        <v>8</v>
      </c>
      <c r="P31" s="490" t="s">
        <v>9</v>
      </c>
      <c r="Q31" s="1349" t="s">
        <v>33</v>
      </c>
      <c r="R31" s="1354"/>
      <c r="S31" s="886"/>
      <c r="T31" s="491"/>
      <c r="U31" s="780"/>
      <c r="V31" s="1261"/>
      <c r="W31" s="1261"/>
      <c r="X31" s="1261"/>
      <c r="Y31" s="1261"/>
      <c r="Z31" s="1261"/>
      <c r="AA31" s="1261"/>
      <c r="AB31" s="1261"/>
      <c r="AC31" s="1261"/>
    </row>
    <row r="32" spans="1:48" s="93" customFormat="1" ht="13.5" customHeight="1" x14ac:dyDescent="0.25">
      <c r="A32" s="183">
        <f ca="1">Параметры!B4-Параметры!B7+1</f>
        <v>17</v>
      </c>
      <c r="B32" s="607"/>
      <c r="C32" s="609" t="s">
        <v>15</v>
      </c>
      <c r="D32" s="492" t="s">
        <v>17</v>
      </c>
      <c r="E32" s="493" t="s">
        <v>1</v>
      </c>
      <c r="F32" s="494" t="s">
        <v>70</v>
      </c>
      <c r="G32" s="495" t="s">
        <v>5</v>
      </c>
      <c r="H32" s="496" t="s">
        <v>7</v>
      </c>
      <c r="I32" s="492"/>
      <c r="J32" s="497" t="s">
        <v>16</v>
      </c>
      <c r="K32" s="498" t="s">
        <v>9</v>
      </c>
      <c r="L32" s="492"/>
      <c r="M32" s="497" t="s">
        <v>16</v>
      </c>
      <c r="N32" s="498" t="s">
        <v>9</v>
      </c>
      <c r="O32" s="492"/>
      <c r="P32" s="492" t="s">
        <v>145</v>
      </c>
      <c r="Q32" s="497" t="s">
        <v>16</v>
      </c>
      <c r="R32" s="498" t="s">
        <v>9</v>
      </c>
      <c r="S32" s="886"/>
      <c r="T32" s="491"/>
      <c r="U32" s="780"/>
      <c r="V32" s="1261"/>
      <c r="W32" s="1261"/>
      <c r="X32" s="1261"/>
      <c r="Y32" s="1261"/>
      <c r="Z32" s="1261"/>
      <c r="AA32" s="1261"/>
      <c r="AB32" s="1261"/>
      <c r="AC32" s="1261"/>
    </row>
    <row r="33" spans="1:29" s="91" customFormat="1" ht="7.5" customHeight="1" thickBot="1" x14ac:dyDescent="0.3">
      <c r="A33" s="98">
        <f ca="1">IF(A31=A32,0,1)</f>
        <v>1</v>
      </c>
      <c r="B33" s="610"/>
      <c r="C33" s="611"/>
      <c r="D33" s="500"/>
      <c r="E33" s="500"/>
      <c r="F33" s="501"/>
      <c r="G33" s="502"/>
      <c r="H33" s="503"/>
      <c r="I33" s="500"/>
      <c r="J33" s="504"/>
      <c r="K33" s="503"/>
      <c r="L33" s="500"/>
      <c r="M33" s="504"/>
      <c r="N33" s="503"/>
      <c r="O33" s="500"/>
      <c r="P33" s="500"/>
      <c r="Q33" s="504"/>
      <c r="R33" s="503"/>
      <c r="S33" s="476"/>
      <c r="T33" s="483"/>
      <c r="U33" s="778"/>
      <c r="V33" s="1260"/>
      <c r="W33" s="1260"/>
      <c r="X33" s="1260"/>
      <c r="Y33" s="1260"/>
      <c r="Z33" s="1260"/>
      <c r="AA33" s="1260"/>
      <c r="AB33" s="1260"/>
      <c r="AC33" s="1260"/>
    </row>
    <row r="34" spans="1:29" s="90" customFormat="1" ht="3.75" customHeight="1" x14ac:dyDescent="0.25">
      <c r="A34" s="97"/>
      <c r="B34" s="612"/>
      <c r="C34" s="1116">
        <f ca="1">Параметры!B7-1</f>
        <v>0</v>
      </c>
      <c r="D34" s="1117"/>
      <c r="E34" s="1118"/>
      <c r="F34" s="1118"/>
      <c r="G34" s="1119"/>
      <c r="H34" s="1120"/>
      <c r="I34" s="1121">
        <f ca="1">I35</f>
        <v>42560</v>
      </c>
      <c r="J34" s="1122"/>
      <c r="K34" s="1123"/>
      <c r="L34" s="1121">
        <f ca="1">L35</f>
        <v>22982.400000000001</v>
      </c>
      <c r="M34" s="1122"/>
      <c r="N34" s="1123"/>
      <c r="O34" s="1121">
        <f ca="1">O35</f>
        <v>19577.599999999999</v>
      </c>
      <c r="P34" s="1118"/>
      <c r="Q34" s="1124"/>
      <c r="R34" s="1123"/>
      <c r="S34" s="484"/>
      <c r="T34" s="513"/>
      <c r="U34" s="779"/>
      <c r="V34" s="1259"/>
      <c r="W34" s="1259"/>
      <c r="X34" s="1259"/>
      <c r="Y34" s="1259"/>
      <c r="Z34" s="1259"/>
      <c r="AA34" s="1259"/>
      <c r="AB34" s="1259"/>
      <c r="AC34" s="1259"/>
    </row>
    <row r="35" spans="1:29" s="90" customFormat="1" ht="15" customHeight="1" x14ac:dyDescent="0.25">
      <c r="A35" s="97"/>
      <c r="B35" s="612"/>
      <c r="C35" s="613">
        <f t="shared" ref="C35:C43" ca="1" si="0">C34+1</f>
        <v>1</v>
      </c>
      <c r="D35" s="515">
        <f>'Исходные данные'!J12</f>
        <v>39675</v>
      </c>
      <c r="E35" s="516">
        <f t="shared" ref="E35:E38" ca="1" si="1">VLOOKUP(C35,__Периоды,3,0)</f>
        <v>0.54</v>
      </c>
      <c r="F35" s="516" t="str">
        <f ca="1">IF(C35 = Параметры!$B$7,"",VLOOKUP(C35,__Периоды,4,0))</f>
        <v/>
      </c>
      <c r="G35" s="852">
        <f ca="1">HLOOKUP(C35,__ОкладыТР,MATCH('Исходные данные'!$J$14,__СписокТР,0)+5)*'Исходные данные'!$J$16</f>
        <v>26000</v>
      </c>
      <c r="H35" s="853">
        <f ca="1">HLOOKUP(C35,__ОкладыВЗ,MATCH('Исходные данные'!$E$14,__СписокВЗ,0)+5)</f>
        <v>12000</v>
      </c>
      <c r="I35" s="851">
        <f t="shared" ref="I35:I38" ca="1" si="2">(G35+H35)*1.4*$M$8*$O$8</f>
        <v>42560</v>
      </c>
      <c r="J35" s="1014">
        <f t="shared" ref="J35:J38" ca="1" si="3">I35-I34</f>
        <v>0</v>
      </c>
      <c r="K35" s="520">
        <f t="shared" ref="K35:K38" ca="1" si="4">J35/I34</f>
        <v>0</v>
      </c>
      <c r="L35" s="835">
        <f t="shared" ref="L35:L38" ca="1" si="5">I35*E35</f>
        <v>22982.400000000001</v>
      </c>
      <c r="M35" s="840">
        <f t="shared" ref="M35:M38" ca="1" si="6">L35-L34</f>
        <v>0</v>
      </c>
      <c r="N35" s="520">
        <f t="shared" ref="N35:N38" ca="1" si="7">M35/L34</f>
        <v>0</v>
      </c>
      <c r="O35" s="835">
        <f t="shared" ref="O35:O38" ca="1" si="8">I35-L35</f>
        <v>19577.599999999999</v>
      </c>
      <c r="P35" s="516">
        <f t="shared" ref="P35:P38" ca="1" si="9">O35/I35</f>
        <v>0.45999999999999996</v>
      </c>
      <c r="Q35" s="522">
        <f t="shared" ref="Q35:Q38" ca="1" si="10">O35-O34</f>
        <v>0</v>
      </c>
      <c r="R35" s="520"/>
      <c r="S35" s="484"/>
      <c r="T35" s="513"/>
      <c r="U35" s="779"/>
      <c r="V35" s="1259"/>
      <c r="W35" s="1259"/>
      <c r="X35" s="1259"/>
      <c r="Y35" s="1259"/>
      <c r="Z35" s="1259"/>
      <c r="AA35" s="1259"/>
      <c r="AB35" s="1259"/>
      <c r="AC35" s="1259"/>
    </row>
    <row r="36" spans="1:29" s="90" customFormat="1" ht="15" customHeight="1" x14ac:dyDescent="0.25">
      <c r="A36" s="97"/>
      <c r="B36" s="612"/>
      <c r="C36" s="613">
        <f t="shared" ca="1" si="0"/>
        <v>2</v>
      </c>
      <c r="D36" s="515">
        <f t="shared" ref="D36:D41" ca="1" si="11">VLOOKUP(C36,__Периоды,2,0)</f>
        <v>41275</v>
      </c>
      <c r="E36" s="516">
        <f t="shared" ca="1" si="1"/>
        <v>0.56000000000000005</v>
      </c>
      <c r="F36" s="516">
        <f ca="1">IF(C36 = Параметры!$B$7,"",VLOOKUP(C36,__Периоды,4,0))</f>
        <v>0</v>
      </c>
      <c r="G36" s="852">
        <f ca="1">HLOOKUP(C36,__ОкладыТР,MATCH('Исходные данные'!$J$14,__СписокТР,0)+5)*'Исходные данные'!$J$16</f>
        <v>26000</v>
      </c>
      <c r="H36" s="853">
        <f ca="1">HLOOKUP(C36,__ОкладыВЗ,MATCH('Исходные данные'!$E$14,__СписокВЗ,0)+5)</f>
        <v>12000</v>
      </c>
      <c r="I36" s="851">
        <f t="shared" ca="1" si="2"/>
        <v>42560</v>
      </c>
      <c r="J36" s="1014">
        <f t="shared" ca="1" si="3"/>
        <v>0</v>
      </c>
      <c r="K36" s="520">
        <f t="shared" ca="1" si="4"/>
        <v>0</v>
      </c>
      <c r="L36" s="835">
        <f t="shared" ca="1" si="5"/>
        <v>23833.600000000002</v>
      </c>
      <c r="M36" s="840">
        <f t="shared" ca="1" si="6"/>
        <v>851.20000000000073</v>
      </c>
      <c r="N36" s="520">
        <f t="shared" ca="1" si="7"/>
        <v>3.703703703703707E-2</v>
      </c>
      <c r="O36" s="835">
        <f t="shared" ca="1" si="8"/>
        <v>18726.399999999998</v>
      </c>
      <c r="P36" s="516">
        <f t="shared" ca="1" si="9"/>
        <v>0.43999999999999995</v>
      </c>
      <c r="Q36" s="614">
        <f t="shared" ca="1" si="10"/>
        <v>-851.20000000000073</v>
      </c>
      <c r="R36" s="520">
        <f ca="1">IF(O35 &gt; 0,Q36/O35," ")</f>
        <v>-4.3478260869565258E-2</v>
      </c>
      <c r="S36" s="484"/>
      <c r="T36" s="513"/>
      <c r="U36" s="779"/>
      <c r="V36" s="1259"/>
      <c r="W36" s="1259"/>
      <c r="X36" s="1259"/>
      <c r="Y36" s="1259"/>
      <c r="Z36" s="1259"/>
      <c r="AA36" s="1259"/>
      <c r="AB36" s="1259"/>
      <c r="AC36" s="1259"/>
    </row>
    <row r="37" spans="1:29" s="90" customFormat="1" ht="15" customHeight="1" x14ac:dyDescent="0.25">
      <c r="A37" s="97"/>
      <c r="B37" s="612"/>
      <c r="C37" s="613">
        <f t="shared" ca="1" si="0"/>
        <v>3</v>
      </c>
      <c r="D37" s="515">
        <f t="shared" ca="1" si="11"/>
        <v>41548</v>
      </c>
      <c r="E37" s="516">
        <f t="shared" ca="1" si="1"/>
        <v>0.58050000000000002</v>
      </c>
      <c r="F37" s="516">
        <f ca="1">IF(C37 = Параметры!$B$7,"",VLOOKUP(C37,__Периоды,4,0))</f>
        <v>0</v>
      </c>
      <c r="G37" s="852">
        <f ca="1">HLOOKUP(C37,__ОкладыТР,MATCH('Исходные данные'!$J$14,__СписокТР,0)+5)*'Исходные данные'!$J$16</f>
        <v>26000</v>
      </c>
      <c r="H37" s="853">
        <f ca="1">HLOOKUP(C37,__ОкладыВЗ,MATCH('Исходные данные'!$E$14,__СписокВЗ,0)+5)</f>
        <v>12000</v>
      </c>
      <c r="I37" s="851">
        <f t="shared" ca="1" si="2"/>
        <v>42560</v>
      </c>
      <c r="J37" s="1014">
        <f t="shared" ca="1" si="3"/>
        <v>0</v>
      </c>
      <c r="K37" s="520">
        <f t="shared" ca="1" si="4"/>
        <v>0</v>
      </c>
      <c r="L37" s="835">
        <f t="shared" ca="1" si="5"/>
        <v>24706.080000000002</v>
      </c>
      <c r="M37" s="840">
        <f t="shared" ca="1" si="6"/>
        <v>872.47999999999956</v>
      </c>
      <c r="N37" s="520">
        <f t="shared" ca="1" si="7"/>
        <v>3.6607142857142838E-2</v>
      </c>
      <c r="O37" s="835">
        <f t="shared" ca="1" si="8"/>
        <v>17853.919999999998</v>
      </c>
      <c r="P37" s="516">
        <f t="shared" ca="1" si="9"/>
        <v>0.41949999999999998</v>
      </c>
      <c r="Q37" s="614">
        <f t="shared" ca="1" si="10"/>
        <v>-872.47999999999956</v>
      </c>
      <c r="R37" s="520">
        <f ca="1">IF(O36 &gt; 0,Q37/O36," ")</f>
        <v>-4.6590909090909072E-2</v>
      </c>
      <c r="S37" s="484"/>
      <c r="T37" s="513"/>
      <c r="U37" s="779"/>
      <c r="V37" s="1259"/>
      <c r="W37" s="1259"/>
      <c r="X37" s="1259"/>
      <c r="Y37" s="1259"/>
      <c r="Z37" s="1259"/>
      <c r="AA37" s="1259"/>
      <c r="AB37" s="1259"/>
      <c r="AC37" s="1259"/>
    </row>
    <row r="38" spans="1:29" s="90" customFormat="1" ht="15" customHeight="1" x14ac:dyDescent="0.25">
      <c r="A38" s="97"/>
      <c r="B38" s="612"/>
      <c r="C38" s="613">
        <f t="shared" ca="1" si="0"/>
        <v>4</v>
      </c>
      <c r="D38" s="515">
        <f t="shared" ca="1" si="11"/>
        <v>41640</v>
      </c>
      <c r="E38" s="516">
        <f t="shared" ca="1" si="1"/>
        <v>0.60050000000000003</v>
      </c>
      <c r="F38" s="516">
        <f ca="1">IF(C38 = Параметры!$B$7,"",VLOOKUP(C38,__Периоды,4,0))</f>
        <v>0</v>
      </c>
      <c r="G38" s="852">
        <f ca="1">HLOOKUP(C38,__ОкладыТР,MATCH('Исходные данные'!$J$14,__СписокТР,0)+5)*'Исходные данные'!$J$16</f>
        <v>26000</v>
      </c>
      <c r="H38" s="853">
        <f ca="1">HLOOKUP(C38,__ОкладыВЗ,MATCH('Исходные данные'!$E$14,__СписокВЗ,0)+5)</f>
        <v>12000</v>
      </c>
      <c r="I38" s="851">
        <f t="shared" ca="1" si="2"/>
        <v>42560</v>
      </c>
      <c r="J38" s="1014">
        <f t="shared" ca="1" si="3"/>
        <v>0</v>
      </c>
      <c r="K38" s="520">
        <f t="shared" ca="1" si="4"/>
        <v>0</v>
      </c>
      <c r="L38" s="835">
        <f t="shared" ca="1" si="5"/>
        <v>25557.280000000002</v>
      </c>
      <c r="M38" s="840">
        <f t="shared" ca="1" si="6"/>
        <v>851.20000000000073</v>
      </c>
      <c r="N38" s="520">
        <f t="shared" ca="1" si="7"/>
        <v>3.4453057708871693E-2</v>
      </c>
      <c r="O38" s="835">
        <f t="shared" ca="1" si="8"/>
        <v>17002.719999999998</v>
      </c>
      <c r="P38" s="516">
        <f t="shared" ca="1" si="9"/>
        <v>0.39949999999999997</v>
      </c>
      <c r="Q38" s="614">
        <f t="shared" ca="1" si="10"/>
        <v>-851.20000000000073</v>
      </c>
      <c r="R38" s="520">
        <f ca="1">IF(O37 &gt; 0,Q38/O37," ")</f>
        <v>-4.7675804529201476E-2</v>
      </c>
      <c r="S38" s="484"/>
      <c r="T38" s="513"/>
      <c r="U38" s="779"/>
      <c r="V38" s="1259"/>
      <c r="W38" s="1259"/>
      <c r="X38" s="1259"/>
      <c r="Y38" s="1259"/>
      <c r="Z38" s="1259"/>
      <c r="AA38" s="1259"/>
      <c r="AB38" s="1259"/>
      <c r="AC38" s="1259"/>
    </row>
    <row r="39" spans="1:29" s="90" customFormat="1" ht="15" customHeight="1" x14ac:dyDescent="0.25">
      <c r="A39" s="97"/>
      <c r="B39" s="612"/>
      <c r="C39" s="613">
        <f t="shared" ca="1" si="0"/>
        <v>5</v>
      </c>
      <c r="D39" s="515">
        <f t="shared" ca="1" si="11"/>
        <v>41913</v>
      </c>
      <c r="E39" s="516">
        <f t="shared" ref="E39:E41" ca="1" si="12">VLOOKUP(C39,__Периоды,3,0)</f>
        <v>0.62119999999999997</v>
      </c>
      <c r="F39" s="516">
        <f ca="1">IF(C39 = Параметры!$B$7,"",VLOOKUP(C39,__Периоды,4,0))</f>
        <v>0</v>
      </c>
      <c r="G39" s="852">
        <f ca="1">HLOOKUP(C39,__ОкладыТР,MATCH('Исходные данные'!$J$14,__СписокТР,0)+5)*'Исходные данные'!$J$16</f>
        <v>26000</v>
      </c>
      <c r="H39" s="853">
        <f ca="1">HLOOKUP(C39,__ОкладыВЗ,MATCH('Исходные данные'!$E$14,__СписокВЗ,0)+5)</f>
        <v>12000</v>
      </c>
      <c r="I39" s="851">
        <f t="shared" ref="I39:I41" ca="1" si="13">(G39+H39)*1.4*$M$8*$O$8</f>
        <v>42560</v>
      </c>
      <c r="J39" s="1014">
        <f t="shared" ref="J39:J41" ca="1" si="14">I39-I38</f>
        <v>0</v>
      </c>
      <c r="K39" s="520">
        <f t="shared" ref="K39:K41" ca="1" si="15">J39/I38</f>
        <v>0</v>
      </c>
      <c r="L39" s="835">
        <f t="shared" ref="L39:L41" ca="1" si="16">I39*E39</f>
        <v>26438.271999999997</v>
      </c>
      <c r="M39" s="840">
        <f t="shared" ref="M39:M41" ca="1" si="17">L39-L38</f>
        <v>880.99199999999473</v>
      </c>
      <c r="N39" s="520">
        <f t="shared" ref="N39:N41" ca="1" si="18">M39/L38</f>
        <v>3.4471273938384471E-2</v>
      </c>
      <c r="O39" s="835">
        <f t="shared" ref="O39:O41" ca="1" si="19">I39-L39</f>
        <v>16121.728000000003</v>
      </c>
      <c r="P39" s="516">
        <f t="shared" ref="P39:P41" ca="1" si="20">O39/I39</f>
        <v>0.37880000000000008</v>
      </c>
      <c r="Q39" s="614">
        <f t="shared" ref="Q39:Q41" ca="1" si="21">O39-O38</f>
        <v>-880.99199999999473</v>
      </c>
      <c r="R39" s="520">
        <f t="shared" ref="R39:R41" ca="1" si="22">IF(O38 &gt; 0,Q39/O38," ")</f>
        <v>-5.1814768460575415E-2</v>
      </c>
      <c r="S39" s="484"/>
      <c r="T39" s="513"/>
      <c r="U39" s="779"/>
      <c r="V39" s="1259"/>
      <c r="W39" s="1259"/>
      <c r="X39" s="1259"/>
      <c r="Y39" s="1259"/>
      <c r="Z39" s="1259"/>
      <c r="AA39" s="1259"/>
      <c r="AB39" s="1259"/>
      <c r="AC39" s="1259"/>
    </row>
    <row r="40" spans="1:29" s="90" customFormat="1" ht="15" customHeight="1" x14ac:dyDescent="0.25">
      <c r="A40" s="97"/>
      <c r="B40" s="612"/>
      <c r="C40" s="613">
        <f t="shared" ca="1" si="0"/>
        <v>6</v>
      </c>
      <c r="D40" s="515">
        <f t="shared" ca="1" si="11"/>
        <v>42278</v>
      </c>
      <c r="E40" s="516">
        <f t="shared" ca="1" si="12"/>
        <v>0.66779999999999995</v>
      </c>
      <c r="F40" s="516">
        <f ca="1">IF(C40 = Параметры!$B$7,"",VLOOKUP(C40,__Периоды,4,0))</f>
        <v>0</v>
      </c>
      <c r="G40" s="852">
        <f ca="1">HLOOKUP(C40,__ОкладыТР,MATCH('Исходные данные'!$J$14,__СписокТР,0)+5)*'Исходные данные'!$J$16</f>
        <v>26000</v>
      </c>
      <c r="H40" s="853">
        <f ca="1">HLOOKUP(C40,__ОкладыВЗ,MATCH('Исходные данные'!$E$14,__СписокВЗ,0)+5)</f>
        <v>12000</v>
      </c>
      <c r="I40" s="851">
        <f t="shared" ca="1" si="13"/>
        <v>42560</v>
      </c>
      <c r="J40" s="1014">
        <f t="shared" ca="1" si="14"/>
        <v>0</v>
      </c>
      <c r="K40" s="520">
        <f t="shared" ca="1" si="15"/>
        <v>0</v>
      </c>
      <c r="L40" s="835">
        <f t="shared" ca="1" si="16"/>
        <v>28421.567999999999</v>
      </c>
      <c r="M40" s="840">
        <f t="shared" ca="1" si="17"/>
        <v>1983.2960000000021</v>
      </c>
      <c r="N40" s="520">
        <f t="shared" ca="1" si="18"/>
        <v>7.5016097875080581E-2</v>
      </c>
      <c r="O40" s="835">
        <f t="shared" ca="1" si="19"/>
        <v>14138.432000000001</v>
      </c>
      <c r="P40" s="516">
        <f t="shared" ca="1" si="20"/>
        <v>0.3322</v>
      </c>
      <c r="Q40" s="614">
        <f t="shared" ca="1" si="21"/>
        <v>-1983.2960000000021</v>
      </c>
      <c r="R40" s="520">
        <f t="shared" ca="1" si="22"/>
        <v>-0.12302006335797265</v>
      </c>
      <c r="S40" s="484"/>
      <c r="T40" s="513"/>
      <c r="U40" s="779"/>
      <c r="V40" s="1259"/>
      <c r="W40" s="1259"/>
      <c r="X40" s="1259"/>
      <c r="Y40" s="1259"/>
      <c r="Z40" s="1259"/>
      <c r="AA40" s="1259"/>
      <c r="AB40" s="1259"/>
      <c r="AC40" s="1259"/>
    </row>
    <row r="41" spans="1:29" s="90" customFormat="1" ht="15" customHeight="1" x14ac:dyDescent="0.25">
      <c r="A41" s="97"/>
      <c r="B41" s="612"/>
      <c r="C41" s="613">
        <f t="shared" ca="1" si="0"/>
        <v>7</v>
      </c>
      <c r="D41" s="515">
        <f t="shared" ca="1" si="11"/>
        <v>42401</v>
      </c>
      <c r="E41" s="516">
        <f t="shared" ca="1" si="12"/>
        <v>0.69450000000000001</v>
      </c>
      <c r="F41" s="516">
        <f ca="1">IF(C41 = Параметры!$B$7,"",VLOOKUP(C41,__Периоды,4,0))</f>
        <v>0</v>
      </c>
      <c r="G41" s="852">
        <f ca="1">HLOOKUP(C41,__ОкладыТР,MATCH('Исходные данные'!$J$14,__СписокТР,0)+5)*'Исходные данные'!$J$16</f>
        <v>26000</v>
      </c>
      <c r="H41" s="853">
        <f ca="1">HLOOKUP(C41,__ОкладыВЗ,MATCH('Исходные данные'!$E$14,__СписокВЗ,0)+5)</f>
        <v>12000</v>
      </c>
      <c r="I41" s="851">
        <f t="shared" ca="1" si="13"/>
        <v>42560</v>
      </c>
      <c r="J41" s="1014">
        <f t="shared" ca="1" si="14"/>
        <v>0</v>
      </c>
      <c r="K41" s="520">
        <f t="shared" ca="1" si="15"/>
        <v>0</v>
      </c>
      <c r="L41" s="835">
        <f t="shared" ca="1" si="16"/>
        <v>29557.920000000002</v>
      </c>
      <c r="M41" s="840">
        <f t="shared" ca="1" si="17"/>
        <v>1136.3520000000026</v>
      </c>
      <c r="N41" s="520">
        <f t="shared" ca="1" si="18"/>
        <v>3.9982030548068377E-2</v>
      </c>
      <c r="O41" s="835">
        <f t="shared" ca="1" si="19"/>
        <v>13002.079999999998</v>
      </c>
      <c r="P41" s="516">
        <f t="shared" ca="1" si="20"/>
        <v>0.30549999999999994</v>
      </c>
      <c r="Q41" s="614">
        <f t="shared" ca="1" si="21"/>
        <v>-1136.3520000000026</v>
      </c>
      <c r="R41" s="520">
        <f t="shared" ca="1" si="22"/>
        <v>-8.0373269114991153E-2</v>
      </c>
      <c r="S41" s="484"/>
      <c r="T41" s="513"/>
      <c r="U41" s="779"/>
      <c r="V41" s="1259"/>
      <c r="W41" s="1259"/>
      <c r="X41" s="1259"/>
      <c r="Y41" s="1259"/>
      <c r="Z41" s="1259"/>
      <c r="AA41" s="1259"/>
      <c r="AB41" s="1259"/>
      <c r="AC41" s="1259"/>
    </row>
    <row r="42" spans="1:29" s="90" customFormat="1" ht="15" customHeight="1" x14ac:dyDescent="0.25">
      <c r="A42" s="97"/>
      <c r="B42" s="612"/>
      <c r="C42" s="613">
        <f t="shared" ca="1" si="0"/>
        <v>8</v>
      </c>
      <c r="D42" s="515">
        <f t="shared" ref="D42" ca="1" si="23">VLOOKUP(C42,__Периоды,2,0)</f>
        <v>42767</v>
      </c>
      <c r="E42" s="516">
        <f t="shared" ref="E42" ca="1" si="24">VLOOKUP(C42,__Периоды,3,0)</f>
        <v>0.72230000000000005</v>
      </c>
      <c r="F42" s="516">
        <f ca="1">IF(C42 = Параметры!$B$7,"",VLOOKUP(C42,__Периоды,4,0))</f>
        <v>0</v>
      </c>
      <c r="G42" s="852">
        <f ca="1">HLOOKUP(C42,__ОкладыТР,MATCH('Исходные данные'!$J$14,__СписокТР,0)+5)*'Исходные данные'!$J$16</f>
        <v>26000</v>
      </c>
      <c r="H42" s="853">
        <f ca="1">HLOOKUP(C42,__ОкладыВЗ,MATCH('Исходные данные'!$E$14,__СписокВЗ,0)+5)</f>
        <v>12000</v>
      </c>
      <c r="I42" s="851">
        <f t="shared" ref="I42" ca="1" si="25">(G42+H42)*1.4*$M$8*$O$8</f>
        <v>42560</v>
      </c>
      <c r="J42" s="1014">
        <f t="shared" ref="J42" ca="1" si="26">I42-I41</f>
        <v>0</v>
      </c>
      <c r="K42" s="520">
        <f t="shared" ref="K42" ca="1" si="27">J42/I41</f>
        <v>0</v>
      </c>
      <c r="L42" s="835">
        <f t="shared" ref="L42" ca="1" si="28">I42*E42</f>
        <v>30741.088000000003</v>
      </c>
      <c r="M42" s="840">
        <f t="shared" ref="M42" ca="1" si="29">L42-L41</f>
        <v>1183.1680000000015</v>
      </c>
      <c r="N42" s="520">
        <f t="shared" ref="N42" ca="1" si="30">M42/L41</f>
        <v>4.0028797696184351E-2</v>
      </c>
      <c r="O42" s="835">
        <f t="shared" ref="O42" ca="1" si="31">I42-L42</f>
        <v>11818.911999999997</v>
      </c>
      <c r="P42" s="516">
        <f t="shared" ref="P42" ca="1" si="32">O42/I42</f>
        <v>0.27769999999999995</v>
      </c>
      <c r="Q42" s="614">
        <f t="shared" ref="Q42" ca="1" si="33">O42-O41</f>
        <v>-1183.1680000000015</v>
      </c>
      <c r="R42" s="520">
        <f t="shared" ref="R42" ca="1" si="34">IF(O41 &gt; 0,Q42/O41," ")</f>
        <v>-9.0998363338788996E-2</v>
      </c>
      <c r="S42" s="484"/>
      <c r="T42" s="513"/>
      <c r="U42" s="779"/>
      <c r="V42" s="1259"/>
      <c r="W42" s="1259"/>
      <c r="X42" s="1259"/>
      <c r="Y42" s="1259"/>
      <c r="Z42" s="1259"/>
      <c r="AA42" s="1259"/>
      <c r="AB42" s="1259"/>
      <c r="AC42" s="1259"/>
    </row>
    <row r="43" spans="1:29" s="90" customFormat="1" ht="15" customHeight="1" x14ac:dyDescent="0.25">
      <c r="A43" s="97"/>
      <c r="B43" s="612"/>
      <c r="C43" s="613">
        <f t="shared" ca="1" si="0"/>
        <v>9</v>
      </c>
      <c r="D43" s="515">
        <f t="shared" ref="D43" ca="1" si="35">VLOOKUP(C43,__Периоды,2,0)</f>
        <v>43101</v>
      </c>
      <c r="E43" s="516">
        <f t="shared" ref="E43" ca="1" si="36">VLOOKUP(C43,__Периоды,3,0)</f>
        <v>0.72230000000000005</v>
      </c>
      <c r="F43" s="516">
        <f ca="1">IF(C43 = Параметры!$B$7,"",VLOOKUP(C43,__Периоды,4,0))</f>
        <v>0.04</v>
      </c>
      <c r="G43" s="852">
        <f ca="1">HLOOKUP(C43,__ОкладыТР,MATCH('Исходные данные'!$J$14,__СписокТР,0)+5)*'Исходные данные'!$J$16</f>
        <v>27040</v>
      </c>
      <c r="H43" s="853">
        <f ca="1">HLOOKUP(C43,__ОкладыВЗ,MATCH('Исходные данные'!$E$14,__СписокВЗ,0)+5)</f>
        <v>12480</v>
      </c>
      <c r="I43" s="851">
        <f t="shared" ref="I43" ca="1" si="37">(G43+H43)*1.4*$M$8*$O$8</f>
        <v>44262.400000000001</v>
      </c>
      <c r="J43" s="1014">
        <f t="shared" ref="J43" ca="1" si="38">I43-I42</f>
        <v>1702.4000000000015</v>
      </c>
      <c r="K43" s="520">
        <f t="shared" ref="K43" ca="1" si="39">J43/I42</f>
        <v>4.0000000000000036E-2</v>
      </c>
      <c r="L43" s="835">
        <f t="shared" ref="L43" ca="1" si="40">I43*E43</f>
        <v>31970.731520000005</v>
      </c>
      <c r="M43" s="840">
        <f t="shared" ref="M43" ca="1" si="41">L43-L42</f>
        <v>1229.6435200000014</v>
      </c>
      <c r="N43" s="520">
        <f t="shared" ref="N43" ca="1" si="42">M43/L42</f>
        <v>4.0000000000000042E-2</v>
      </c>
      <c r="O43" s="835">
        <f t="shared" ref="O43" ca="1" si="43">I43-L43</f>
        <v>12291.668479999997</v>
      </c>
      <c r="P43" s="516">
        <f t="shared" ref="P43" ca="1" si="44">O43/I43</f>
        <v>0.27769999999999989</v>
      </c>
      <c r="Q43" s="614">
        <f t="shared" ref="Q43" ca="1" si="45">O43-O42</f>
        <v>472.75648000000001</v>
      </c>
      <c r="R43" s="520">
        <f t="shared" ref="R43" ca="1" si="46">IF(O42 &gt; 0,Q43/O42," ")</f>
        <v>4.0000000000000015E-2</v>
      </c>
      <c r="S43" s="484"/>
      <c r="T43" s="513"/>
      <c r="U43" s="779"/>
      <c r="V43" s="1259"/>
      <c r="W43" s="1259"/>
      <c r="X43" s="1259"/>
      <c r="Y43" s="1259"/>
      <c r="Z43" s="1259"/>
      <c r="AA43" s="1259"/>
      <c r="AB43" s="1259"/>
      <c r="AC43" s="1259"/>
    </row>
    <row r="44" spans="1:29" s="90" customFormat="1" ht="15" customHeight="1" thickBot="1" x14ac:dyDescent="0.3">
      <c r="A44" s="97"/>
      <c r="B44" s="612"/>
      <c r="C44" s="615"/>
      <c r="D44" s="524"/>
      <c r="E44" s="525"/>
      <c r="F44" s="525"/>
      <c r="G44" s="616"/>
      <c r="H44" s="617"/>
      <c r="I44" s="618"/>
      <c r="J44" s="1015"/>
      <c r="K44" s="530"/>
      <c r="L44" s="828"/>
      <c r="M44" s="841"/>
      <c r="N44" s="530"/>
      <c r="O44" s="828"/>
      <c r="P44" s="525"/>
      <c r="Q44" s="849"/>
      <c r="R44" s="530"/>
      <c r="S44" s="484"/>
      <c r="T44" s="513"/>
      <c r="U44" s="779"/>
      <c r="V44" s="1259"/>
      <c r="W44" s="1259"/>
      <c r="X44" s="1259"/>
      <c r="Y44" s="1259"/>
      <c r="Z44" s="1259"/>
      <c r="AA44" s="1259"/>
      <c r="AB44" s="1259"/>
      <c r="AC44" s="1259"/>
    </row>
    <row r="45" spans="1:29" s="90" customFormat="1" ht="13.5" customHeight="1" x14ac:dyDescent="0.25">
      <c r="A45" s="97"/>
      <c r="B45" s="543"/>
      <c r="C45" s="487"/>
      <c r="D45" s="531"/>
      <c r="E45" s="532"/>
      <c r="F45" s="532"/>
      <c r="G45" s="487"/>
      <c r="H45" s="487"/>
      <c r="I45" s="487"/>
      <c r="J45" s="486"/>
      <c r="K45" s="487"/>
      <c r="L45" s="487"/>
      <c r="M45" s="488"/>
      <c r="N45" s="489"/>
      <c r="O45" s="487"/>
      <c r="P45" s="487"/>
      <c r="Q45" s="487"/>
      <c r="R45" s="487"/>
      <c r="S45" s="487"/>
      <c r="T45" s="513"/>
      <c r="U45" s="779"/>
      <c r="V45" s="1259"/>
      <c r="W45" s="1259"/>
      <c r="X45" s="1259"/>
      <c r="Y45" s="1259"/>
      <c r="Z45" s="1259"/>
      <c r="AA45" s="1259"/>
      <c r="AB45" s="1259"/>
      <c r="AC45" s="1259"/>
    </row>
    <row r="46" spans="1:29" s="91" customFormat="1" ht="13.5" customHeight="1" x14ac:dyDescent="0.25">
      <c r="A46" s="98"/>
      <c r="B46" s="541"/>
      <c r="C46" s="476"/>
      <c r="D46" s="477" t="s">
        <v>158</v>
      </c>
      <c r="E46" s="478"/>
      <c r="F46" s="533" t="str">
        <f ca="1">CONCATENATE(" Общее изменение военной пенсии  с  ",TEXT(D51,"ДД.ММ.ГГГГ")," по ",TEXT(D52,"ДД.ММ.ГГГГ"))</f>
        <v xml:space="preserve"> Общее изменение военной пенсии  с  15.08.2008 по 13.04.2022</v>
      </c>
      <c r="G46" s="534"/>
      <c r="H46" s="479"/>
      <c r="I46" s="535"/>
      <c r="J46" s="479"/>
      <c r="K46" s="536"/>
      <c r="L46" s="536"/>
      <c r="M46" s="536"/>
      <c r="N46" s="482"/>
      <c r="O46" s="476"/>
      <c r="P46" s="476"/>
      <c r="Q46" s="476"/>
      <c r="R46" s="476"/>
      <c r="S46" s="476"/>
      <c r="T46" s="483"/>
      <c r="U46" s="778"/>
      <c r="V46" s="1260"/>
      <c r="W46" s="1260"/>
      <c r="X46" s="1260"/>
      <c r="Y46" s="1260"/>
      <c r="Z46" s="1260"/>
      <c r="AA46" s="1260"/>
      <c r="AB46" s="1260"/>
      <c r="AC46" s="1260"/>
    </row>
    <row r="47" spans="1:29" s="91" customFormat="1" ht="3.75" customHeight="1" thickBot="1" x14ac:dyDescent="0.3">
      <c r="A47" s="98"/>
      <c r="B47" s="541"/>
      <c r="C47" s="476"/>
      <c r="D47" s="476"/>
      <c r="E47" s="476"/>
      <c r="F47" s="476"/>
      <c r="G47" s="476"/>
      <c r="H47" s="476"/>
      <c r="I47" s="476"/>
      <c r="J47" s="480"/>
      <c r="K47" s="476"/>
      <c r="L47" s="476"/>
      <c r="M47" s="481"/>
      <c r="N47" s="482"/>
      <c r="O47" s="476"/>
      <c r="P47" s="476"/>
      <c r="Q47" s="476"/>
      <c r="R47" s="476"/>
      <c r="S47" s="476"/>
      <c r="T47" s="483"/>
      <c r="U47" s="778"/>
      <c r="V47" s="1260"/>
      <c r="W47" s="1260"/>
      <c r="X47" s="1260"/>
      <c r="Y47" s="1260"/>
      <c r="Z47" s="1260"/>
      <c r="AA47" s="1260"/>
      <c r="AB47" s="1260"/>
      <c r="AC47" s="1260"/>
    </row>
    <row r="48" spans="1:29" s="93" customFormat="1" ht="13.5" customHeight="1" x14ac:dyDescent="0.25">
      <c r="A48" s="180"/>
      <c r="B48" s="537"/>
      <c r="C48" s="490" t="s">
        <v>2</v>
      </c>
      <c r="D48" s="490" t="s">
        <v>0</v>
      </c>
      <c r="E48" s="1349" t="s">
        <v>192</v>
      </c>
      <c r="F48" s="1350"/>
      <c r="G48" s="1354"/>
      <c r="H48" s="908" t="s">
        <v>36</v>
      </c>
      <c r="I48" s="1168" t="s">
        <v>31</v>
      </c>
      <c r="J48" s="908" t="s">
        <v>8</v>
      </c>
      <c r="K48" s="1168" t="s">
        <v>9</v>
      </c>
      <c r="L48" s="698"/>
      <c r="M48" s="698"/>
      <c r="N48" s="699"/>
      <c r="O48" s="699"/>
      <c r="P48" s="698"/>
      <c r="Q48" s="698"/>
      <c r="R48" s="699"/>
      <c r="S48" s="859"/>
      <c r="T48" s="491"/>
      <c r="U48" s="780"/>
      <c r="V48" s="1261"/>
      <c r="W48" s="1261"/>
      <c r="X48" s="1261"/>
      <c r="Y48" s="1261"/>
      <c r="Z48" s="1261"/>
      <c r="AA48" s="1261"/>
      <c r="AB48" s="1261"/>
      <c r="AC48" s="1261"/>
    </row>
    <row r="49" spans="1:29" s="93" customFormat="1" ht="13.5" customHeight="1" x14ac:dyDescent="0.25">
      <c r="A49" s="180"/>
      <c r="B49" s="537"/>
      <c r="C49" s="492" t="s">
        <v>15</v>
      </c>
      <c r="D49" s="492" t="s">
        <v>17</v>
      </c>
      <c r="E49" s="495" t="s">
        <v>1</v>
      </c>
      <c r="F49" s="1174" t="s">
        <v>5</v>
      </c>
      <c r="G49" s="498" t="s">
        <v>7</v>
      </c>
      <c r="H49" s="909"/>
      <c r="I49" s="1169"/>
      <c r="J49" s="909"/>
      <c r="K49" s="1169" t="s">
        <v>145</v>
      </c>
      <c r="L49" s="699"/>
      <c r="M49" s="699"/>
      <c r="N49" s="699"/>
      <c r="O49" s="699"/>
      <c r="P49" s="699"/>
      <c r="Q49" s="699"/>
      <c r="R49" s="699"/>
      <c r="S49" s="859"/>
      <c r="T49" s="491"/>
      <c r="U49" s="780"/>
      <c r="V49" s="1261"/>
      <c r="W49" s="1261"/>
      <c r="X49" s="1261"/>
      <c r="Y49" s="1261"/>
      <c r="Z49" s="1261"/>
      <c r="AA49" s="1261"/>
      <c r="AB49" s="1261"/>
      <c r="AC49" s="1261"/>
    </row>
    <row r="50" spans="1:29" s="91" customFormat="1" ht="7.5" customHeight="1" thickBot="1" x14ac:dyDescent="0.3">
      <c r="A50" s="98"/>
      <c r="B50" s="541"/>
      <c r="C50" s="499"/>
      <c r="D50" s="500"/>
      <c r="E50" s="1170"/>
      <c r="F50" s="1175"/>
      <c r="G50" s="589"/>
      <c r="H50" s="1170"/>
      <c r="I50" s="1171"/>
      <c r="J50" s="1170"/>
      <c r="K50" s="1171"/>
      <c r="L50" s="700"/>
      <c r="M50" s="701"/>
      <c r="N50" s="701"/>
      <c r="O50" s="702"/>
      <c r="P50" s="700"/>
      <c r="Q50" s="701"/>
      <c r="R50" s="701"/>
      <c r="S50" s="476"/>
      <c r="T50" s="483"/>
      <c r="U50" s="778"/>
      <c r="V50" s="1260"/>
      <c r="W50" s="1260"/>
      <c r="X50" s="1260"/>
      <c r="Y50" s="1260"/>
      <c r="Z50" s="1260"/>
      <c r="AA50" s="1260"/>
      <c r="AB50" s="1260"/>
      <c r="AC50" s="1260"/>
    </row>
    <row r="51" spans="1:29" s="90" customFormat="1" ht="15" customHeight="1" x14ac:dyDescent="0.25">
      <c r="A51" s="97"/>
      <c r="B51" s="543"/>
      <c r="C51" s="619">
        <f ca="1">Параметры!B7</f>
        <v>1</v>
      </c>
      <c r="D51" s="506">
        <f>D35</f>
        <v>39675</v>
      </c>
      <c r="E51" s="580">
        <f ca="1">VLOOKUP($C$51,__Периоды,3,0)</f>
        <v>0.54</v>
      </c>
      <c r="F51" s="1176">
        <f ca="1">VLOOKUP($C51,__ВПрасч2,5,0)</f>
        <v>26000</v>
      </c>
      <c r="G51" s="1166">
        <f ca="1">VLOOKUP($C51,__ВПрасч2,6,0)</f>
        <v>12000</v>
      </c>
      <c r="H51" s="829">
        <f ca="1">VLOOKUP($C51,__ВПрасч2,7,0)</f>
        <v>42560</v>
      </c>
      <c r="I51" s="1166">
        <f ca="1">H51*E51</f>
        <v>22982.400000000001</v>
      </c>
      <c r="J51" s="829">
        <f ca="1">H51-I51</f>
        <v>19577.599999999999</v>
      </c>
      <c r="K51" s="581">
        <f ca="1">J51/H51</f>
        <v>0.45999999999999996</v>
      </c>
      <c r="L51" s="703"/>
      <c r="M51" s="704"/>
      <c r="N51" s="705"/>
      <c r="O51" s="704"/>
      <c r="P51" s="706"/>
      <c r="Q51" s="704"/>
      <c r="R51" s="705"/>
      <c r="S51" s="484"/>
      <c r="T51" s="513"/>
      <c r="U51" s="779"/>
      <c r="V51" s="1259"/>
      <c r="W51" s="1259"/>
      <c r="X51" s="1259"/>
      <c r="Y51" s="1259"/>
      <c r="Z51" s="1259"/>
      <c r="AA51" s="1259"/>
      <c r="AB51" s="1259"/>
      <c r="AC51" s="1259"/>
    </row>
    <row r="52" spans="1:29" s="90" customFormat="1" ht="15" customHeight="1" thickBot="1" x14ac:dyDescent="0.3">
      <c r="A52" s="97"/>
      <c r="B52" s="543"/>
      <c r="C52" s="514">
        <f ca="1">Параметры!B8</f>
        <v>13</v>
      </c>
      <c r="D52" s="515">
        <f ca="1">TODAY()</f>
        <v>44664</v>
      </c>
      <c r="E52" s="583">
        <f ca="1">VLOOKUP(C52,__Периоды,3,0)</f>
        <v>0.74</v>
      </c>
      <c r="F52" s="942" t="e">
        <f ca="1">VLOOKUP($C52,__ВПрасч2,5,0)</f>
        <v>#N/A</v>
      </c>
      <c r="G52" s="1167" t="e">
        <f ca="1">VLOOKUP($C52,__ВПрасч2,6,0)</f>
        <v>#N/A</v>
      </c>
      <c r="H52" s="834" t="e">
        <f ca="1">VLOOKUP($C52,__ВПрасч2,7,0)</f>
        <v>#N/A</v>
      </c>
      <c r="I52" s="1167" t="e">
        <f ca="1">H52*E52</f>
        <v>#N/A</v>
      </c>
      <c r="J52" s="1172" t="e">
        <f ca="1">H52-I52</f>
        <v>#N/A</v>
      </c>
      <c r="K52" s="520" t="e">
        <f ca="1">J52/H52</f>
        <v>#N/A</v>
      </c>
      <c r="L52" s="703"/>
      <c r="M52" s="704"/>
      <c r="N52" s="705"/>
      <c r="O52" s="704"/>
      <c r="P52" s="706"/>
      <c r="Q52" s="704"/>
      <c r="R52" s="705"/>
      <c r="S52" s="484"/>
      <c r="T52" s="513"/>
      <c r="U52" s="779"/>
      <c r="V52" s="1259"/>
      <c r="W52" s="1259"/>
      <c r="X52" s="1259"/>
      <c r="Y52" s="1259"/>
      <c r="Z52" s="1259"/>
      <c r="AA52" s="1259"/>
      <c r="AB52" s="1259"/>
      <c r="AC52" s="1259"/>
    </row>
    <row r="53" spans="1:29" s="90" customFormat="1" ht="15" customHeight="1" x14ac:dyDescent="0.25">
      <c r="A53" s="97"/>
      <c r="B53" s="543"/>
      <c r="C53" s="1355" t="s">
        <v>146</v>
      </c>
      <c r="D53" s="1356"/>
      <c r="E53" s="1177">
        <f t="shared" ref="E53:J53" ca="1" si="47">E52-E51</f>
        <v>0.19999999999999996</v>
      </c>
      <c r="F53" s="1178" t="e">
        <f t="shared" ca="1" si="47"/>
        <v>#N/A</v>
      </c>
      <c r="G53" s="832" t="e">
        <f t="shared" ca="1" si="47"/>
        <v>#N/A</v>
      </c>
      <c r="H53" s="831" t="e">
        <f t="shared" ca="1" si="47"/>
        <v>#N/A</v>
      </c>
      <c r="I53" s="832" t="e">
        <f t="shared" ca="1" si="47"/>
        <v>#N/A</v>
      </c>
      <c r="J53" s="831" t="e">
        <f t="shared" ca="1" si="47"/>
        <v>#N/A</v>
      </c>
      <c r="K53" s="1173" t="e">
        <f ca="1">K52-K51</f>
        <v>#N/A</v>
      </c>
      <c r="L53" s="707"/>
      <c r="M53" s="708"/>
      <c r="N53" s="705"/>
      <c r="O53" s="704"/>
      <c r="P53" s="709"/>
      <c r="Q53" s="708"/>
      <c r="R53" s="705"/>
      <c r="S53" s="484"/>
      <c r="T53" s="513"/>
      <c r="U53" s="779"/>
      <c r="V53" s="1259"/>
      <c r="W53" s="1259"/>
      <c r="X53" s="1259"/>
      <c r="Y53" s="1259"/>
      <c r="Z53" s="1259"/>
      <c r="AA53" s="1259"/>
      <c r="AB53" s="1259"/>
      <c r="AC53" s="1259"/>
    </row>
    <row r="54" spans="1:29" s="90" customFormat="1" ht="15" customHeight="1" thickBot="1" x14ac:dyDescent="0.3">
      <c r="A54" s="97"/>
      <c r="B54" s="543"/>
      <c r="C54" s="1357" t="s">
        <v>23</v>
      </c>
      <c r="D54" s="1358"/>
      <c r="E54" s="593"/>
      <c r="F54" s="1179" t="e">
        <f ca="1">F53/F51</f>
        <v>#N/A</v>
      </c>
      <c r="G54" s="594" t="e">
        <f ca="1">G53/G51</f>
        <v>#N/A</v>
      </c>
      <c r="H54" s="593" t="e">
        <f ca="1">H53/H51</f>
        <v>#N/A</v>
      </c>
      <c r="I54" s="594" t="e">
        <f ca="1">I53/I51</f>
        <v>#N/A</v>
      </c>
      <c r="J54" s="593" t="e">
        <f ca="1">J53/J51</f>
        <v>#N/A</v>
      </c>
      <c r="K54" s="594"/>
      <c r="L54" s="710"/>
      <c r="M54" s="711"/>
      <c r="N54" s="705"/>
      <c r="O54" s="711"/>
      <c r="P54" s="710"/>
      <c r="Q54" s="711"/>
      <c r="R54" s="705"/>
      <c r="S54" s="484"/>
      <c r="T54" s="513"/>
      <c r="U54" s="779"/>
      <c r="V54" s="1259"/>
      <c r="W54" s="1259"/>
      <c r="X54" s="1259"/>
      <c r="Y54" s="1259"/>
      <c r="Z54" s="1259"/>
      <c r="AA54" s="1259"/>
      <c r="AB54" s="1259"/>
      <c r="AC54" s="1259"/>
    </row>
    <row r="55" spans="1:29" s="90" customFormat="1" ht="13.5" customHeight="1" x14ac:dyDescent="0.25">
      <c r="A55" s="97"/>
      <c r="B55" s="543"/>
      <c r="C55" s="487"/>
      <c r="D55" s="531"/>
      <c r="E55" s="532"/>
      <c r="F55" s="532"/>
      <c r="G55" s="487"/>
      <c r="H55" s="487"/>
      <c r="I55" s="487"/>
      <c r="J55" s="486"/>
      <c r="K55" s="487"/>
      <c r="L55" s="708"/>
      <c r="M55" s="712"/>
      <c r="N55" s="713"/>
      <c r="O55" s="708"/>
      <c r="P55" s="708"/>
      <c r="Q55" s="708"/>
      <c r="R55" s="708"/>
      <c r="S55" s="487"/>
      <c r="T55" s="513"/>
      <c r="U55" s="779"/>
      <c r="V55" s="1259"/>
      <c r="W55" s="1259"/>
      <c r="X55" s="1259"/>
      <c r="Y55" s="1259"/>
      <c r="Z55" s="1259"/>
      <c r="AA55" s="1259"/>
      <c r="AB55" s="1259"/>
      <c r="AC55" s="1259"/>
    </row>
    <row r="56" spans="1:29" s="91" customFormat="1" ht="13.5" customHeight="1" x14ac:dyDescent="0.25">
      <c r="A56" s="98"/>
      <c r="B56" s="541"/>
      <c r="C56" s="476"/>
      <c r="D56" s="477" t="s">
        <v>242</v>
      </c>
      <c r="E56" s="478"/>
      <c r="F56" s="533" t="str">
        <f ca="1">CONCATENATE(" Прогноз изменения военной пенсии  с  ",TEXT(D61,"ДД.ММ.ГГГГ")," по ",TEXT(D62,"ДД.ММ.ГГГГ"))</f>
        <v xml:space="preserve"> Прогноз изменения военной пенсии  с  13.04.2022 по 01.10.2024</v>
      </c>
      <c r="G56" s="534"/>
      <c r="H56" s="479"/>
      <c r="I56" s="535"/>
      <c r="J56" s="479"/>
      <c r="K56" s="536"/>
      <c r="L56" s="715"/>
      <c r="M56" s="715"/>
      <c r="N56" s="714"/>
      <c r="O56" s="701"/>
      <c r="P56" s="701"/>
      <c r="Q56" s="701"/>
      <c r="R56" s="701"/>
      <c r="S56" s="476"/>
      <c r="T56" s="483"/>
      <c r="U56" s="778"/>
      <c r="V56" s="1260"/>
      <c r="W56" s="1260"/>
      <c r="X56" s="1260"/>
      <c r="Y56" s="1260"/>
      <c r="Z56" s="1260"/>
      <c r="AA56" s="1260"/>
      <c r="AB56" s="1260"/>
      <c r="AC56" s="1260"/>
    </row>
    <row r="57" spans="1:29" s="91" customFormat="1" ht="3.75" customHeight="1" thickBot="1" x14ac:dyDescent="0.3">
      <c r="A57" s="98"/>
      <c r="B57" s="541"/>
      <c r="C57" s="476"/>
      <c r="D57" s="476"/>
      <c r="E57" s="476"/>
      <c r="F57" s="476"/>
      <c r="G57" s="476"/>
      <c r="H57" s="476"/>
      <c r="I57" s="476"/>
      <c r="J57" s="480"/>
      <c r="K57" s="476"/>
      <c r="L57" s="701"/>
      <c r="M57" s="702"/>
      <c r="N57" s="714"/>
      <c r="O57" s="701"/>
      <c r="P57" s="701"/>
      <c r="Q57" s="701"/>
      <c r="R57" s="701"/>
      <c r="S57" s="476"/>
      <c r="T57" s="483"/>
      <c r="U57" s="778"/>
      <c r="V57" s="1260"/>
      <c r="W57" s="1260"/>
      <c r="X57" s="1260"/>
      <c r="Y57" s="1260"/>
      <c r="Z57" s="1260"/>
      <c r="AA57" s="1260"/>
      <c r="AB57" s="1260"/>
      <c r="AC57" s="1260"/>
    </row>
    <row r="58" spans="1:29" s="93" customFormat="1" ht="13.5" customHeight="1" x14ac:dyDescent="0.25">
      <c r="A58" s="180"/>
      <c r="B58" s="537"/>
      <c r="C58" s="490" t="s">
        <v>2</v>
      </c>
      <c r="D58" s="490" t="s">
        <v>0</v>
      </c>
      <c r="E58" s="1349" t="s">
        <v>192</v>
      </c>
      <c r="F58" s="1350"/>
      <c r="G58" s="1354"/>
      <c r="H58" s="908" t="s">
        <v>36</v>
      </c>
      <c r="I58" s="1168" t="s">
        <v>31</v>
      </c>
      <c r="J58" s="908" t="s">
        <v>8</v>
      </c>
      <c r="K58" s="1168" t="s">
        <v>9</v>
      </c>
      <c r="L58" s="699"/>
      <c r="M58" s="699"/>
      <c r="N58" s="699"/>
      <c r="O58" s="699"/>
      <c r="P58" s="698"/>
      <c r="Q58" s="698"/>
      <c r="R58" s="699"/>
      <c r="S58" s="859"/>
      <c r="T58" s="491"/>
      <c r="U58" s="780"/>
      <c r="V58" s="1261"/>
      <c r="W58" s="1261"/>
      <c r="X58" s="1261"/>
      <c r="Y58" s="1261"/>
      <c r="Z58" s="1261"/>
      <c r="AA58" s="1261"/>
      <c r="AB58" s="1261"/>
      <c r="AC58" s="1261"/>
    </row>
    <row r="59" spans="1:29" s="93" customFormat="1" ht="13.5" customHeight="1" x14ac:dyDescent="0.25">
      <c r="A59" s="180"/>
      <c r="B59" s="537"/>
      <c r="C59" s="492" t="s">
        <v>15</v>
      </c>
      <c r="D59" s="492" t="s">
        <v>17</v>
      </c>
      <c r="E59" s="495" t="s">
        <v>1</v>
      </c>
      <c r="F59" s="1174" t="s">
        <v>5</v>
      </c>
      <c r="G59" s="498" t="s">
        <v>7</v>
      </c>
      <c r="H59" s="909"/>
      <c r="I59" s="1169"/>
      <c r="J59" s="909"/>
      <c r="K59" s="1169" t="s">
        <v>145</v>
      </c>
      <c r="L59" s="699"/>
      <c r="M59" s="699"/>
      <c r="N59" s="699"/>
      <c r="O59" s="699"/>
      <c r="P59" s="699"/>
      <c r="Q59" s="699"/>
      <c r="R59" s="699"/>
      <c r="S59" s="859"/>
      <c r="T59" s="491"/>
      <c r="U59" s="780"/>
      <c r="V59" s="1261"/>
      <c r="W59" s="1261"/>
      <c r="X59" s="1261"/>
      <c r="Y59" s="1261"/>
      <c r="Z59" s="1261"/>
      <c r="AA59" s="1261"/>
      <c r="AB59" s="1261"/>
      <c r="AC59" s="1261"/>
    </row>
    <row r="60" spans="1:29" s="91" customFormat="1" ht="7.5" customHeight="1" thickBot="1" x14ac:dyDescent="0.3">
      <c r="A60" s="98"/>
      <c r="B60" s="541"/>
      <c r="C60" s="499"/>
      <c r="D60" s="500"/>
      <c r="E60" s="1170"/>
      <c r="F60" s="1175"/>
      <c r="G60" s="589"/>
      <c r="H60" s="1170"/>
      <c r="I60" s="1171"/>
      <c r="J60" s="1170"/>
      <c r="K60" s="1171"/>
      <c r="L60" s="700"/>
      <c r="M60" s="701"/>
      <c r="N60" s="701"/>
      <c r="O60" s="702"/>
      <c r="P60" s="700"/>
      <c r="Q60" s="701"/>
      <c r="R60" s="701"/>
      <c r="S60" s="476"/>
      <c r="T60" s="483"/>
      <c r="U60" s="778"/>
      <c r="V60" s="1260"/>
      <c r="W60" s="1260"/>
      <c r="X60" s="1260"/>
      <c r="Y60" s="1260"/>
      <c r="Z60" s="1260"/>
      <c r="AA60" s="1260"/>
      <c r="AB60" s="1260"/>
      <c r="AC60" s="1260"/>
    </row>
    <row r="61" spans="1:29" s="90" customFormat="1" ht="15" customHeight="1" x14ac:dyDescent="0.25">
      <c r="A61" s="97"/>
      <c r="B61" s="543"/>
      <c r="C61" s="514">
        <f ca="1">Параметры!B8</f>
        <v>13</v>
      </c>
      <c r="D61" s="506">
        <f ca="1">TODAY()</f>
        <v>44664</v>
      </c>
      <c r="E61" s="580">
        <f ca="1">VLOOKUP(C61,__Периоды,3,0)</f>
        <v>0.74</v>
      </c>
      <c r="F61" s="1176" t="e">
        <f ca="1">VLOOKUP($C61,__ВПрасч2,5,0)</f>
        <v>#N/A</v>
      </c>
      <c r="G61" s="1166" t="e">
        <f ca="1">VLOOKUP($C61,__ВПрасч2,6,0)</f>
        <v>#N/A</v>
      </c>
      <c r="H61" s="829" t="e">
        <f ca="1">VLOOKUP($C61,__ВПрасч2,7,0)</f>
        <v>#N/A</v>
      </c>
      <c r="I61" s="1166" t="e">
        <f ca="1">H61*E61</f>
        <v>#N/A</v>
      </c>
      <c r="J61" s="829" t="e">
        <f ca="1">H61-I61</f>
        <v>#N/A</v>
      </c>
      <c r="K61" s="581" t="e">
        <f ca="1">J61/H61</f>
        <v>#N/A</v>
      </c>
      <c r="L61" s="716"/>
      <c r="M61" s="717"/>
      <c r="N61" s="705"/>
      <c r="O61" s="717"/>
      <c r="P61" s="718"/>
      <c r="Q61" s="717"/>
      <c r="R61" s="705"/>
      <c r="S61" s="484"/>
      <c r="T61" s="513"/>
      <c r="U61" s="779"/>
      <c r="V61" s="1259"/>
      <c r="W61" s="1259"/>
      <c r="X61" s="1259"/>
      <c r="Y61" s="1259"/>
      <c r="Z61" s="1259"/>
      <c r="AA61" s="1259"/>
      <c r="AB61" s="1259"/>
      <c r="AC61" s="1259"/>
    </row>
    <row r="62" spans="1:29" s="90" customFormat="1" ht="15" customHeight="1" thickBot="1" x14ac:dyDescent="0.3">
      <c r="A62" s="97"/>
      <c r="B62" s="543"/>
      <c r="C62" s="591">
        <f>Параметры!B4</f>
        <v>17</v>
      </c>
      <c r="D62" s="524">
        <f>VLOOKUP(C62,__Периоды,2,0)</f>
        <v>45566</v>
      </c>
      <c r="E62" s="929">
        <f>VLOOKUP(C62,__Периоды,3,0)</f>
        <v>0.78</v>
      </c>
      <c r="F62" s="942" t="e">
        <f ca="1">VLOOKUP(C62,__ВПрасч2,5,0)</f>
        <v>#N/A</v>
      </c>
      <c r="G62" s="1167" t="e">
        <f ca="1">VLOOKUP($C62,__ВПрасч2,6,0)</f>
        <v>#N/A</v>
      </c>
      <c r="H62" s="834" t="e">
        <f ca="1">VLOOKUP($C62,__ВПрасч2,7,0)</f>
        <v>#N/A</v>
      </c>
      <c r="I62" s="1167" t="e">
        <f ca="1">H62*E62</f>
        <v>#N/A</v>
      </c>
      <c r="J62" s="1172" t="e">
        <f ca="1">H62-I62</f>
        <v>#N/A</v>
      </c>
      <c r="K62" s="520" t="e">
        <f ca="1">J62/H62</f>
        <v>#N/A</v>
      </c>
      <c r="L62" s="716"/>
      <c r="M62" s="717"/>
      <c r="N62" s="705"/>
      <c r="O62" s="717"/>
      <c r="P62" s="718"/>
      <c r="Q62" s="717"/>
      <c r="R62" s="705"/>
      <c r="S62" s="484"/>
      <c r="T62" s="513"/>
      <c r="U62" s="779"/>
      <c r="V62" s="1259"/>
      <c r="W62" s="1259"/>
      <c r="X62" s="1259"/>
      <c r="Y62" s="1259"/>
      <c r="Z62" s="1259"/>
      <c r="AA62" s="1259"/>
      <c r="AB62" s="1259"/>
      <c r="AC62" s="1259"/>
    </row>
    <row r="63" spans="1:29" s="90" customFormat="1" ht="15" customHeight="1" x14ac:dyDescent="0.25">
      <c r="A63" s="97"/>
      <c r="B63" s="543"/>
      <c r="C63" s="1355" t="s">
        <v>146</v>
      </c>
      <c r="D63" s="1356"/>
      <c r="E63" s="1177">
        <f t="shared" ref="E63:K63" ca="1" si="48">E62-E61</f>
        <v>4.0000000000000036E-2</v>
      </c>
      <c r="F63" s="1178" t="e">
        <f t="shared" ca="1" si="48"/>
        <v>#N/A</v>
      </c>
      <c r="G63" s="832" t="e">
        <f t="shared" ca="1" si="48"/>
        <v>#N/A</v>
      </c>
      <c r="H63" s="831" t="e">
        <f t="shared" ca="1" si="48"/>
        <v>#N/A</v>
      </c>
      <c r="I63" s="832" t="e">
        <f t="shared" ca="1" si="48"/>
        <v>#N/A</v>
      </c>
      <c r="J63" s="831" t="e">
        <f t="shared" ca="1" si="48"/>
        <v>#N/A</v>
      </c>
      <c r="K63" s="1173" t="e">
        <f t="shared" ca="1" si="48"/>
        <v>#N/A</v>
      </c>
      <c r="L63" s="719"/>
      <c r="M63" s="705"/>
      <c r="N63" s="705"/>
      <c r="O63" s="717"/>
      <c r="P63" s="720"/>
      <c r="Q63" s="705"/>
      <c r="R63" s="705"/>
      <c r="S63" s="484"/>
      <c r="T63" s="513"/>
      <c r="U63" s="779"/>
      <c r="V63" s="1259"/>
      <c r="W63" s="1259"/>
      <c r="X63" s="1259"/>
      <c r="Y63" s="1259"/>
      <c r="Z63" s="1259"/>
      <c r="AA63" s="1259"/>
      <c r="AB63" s="1259"/>
      <c r="AC63" s="1259"/>
    </row>
    <row r="64" spans="1:29" s="90" customFormat="1" ht="15" customHeight="1" thickBot="1" x14ac:dyDescent="0.3">
      <c r="A64" s="97"/>
      <c r="B64" s="543"/>
      <c r="C64" s="1357" t="s">
        <v>23</v>
      </c>
      <c r="D64" s="1358"/>
      <c r="E64" s="593"/>
      <c r="F64" s="1179" t="e">
        <f ca="1">F63/F61</f>
        <v>#N/A</v>
      </c>
      <c r="G64" s="594" t="e">
        <f ca="1">G63/G61</f>
        <v>#N/A</v>
      </c>
      <c r="H64" s="593" t="e">
        <f ca="1">H63/H61</f>
        <v>#N/A</v>
      </c>
      <c r="I64" s="594" t="e">
        <f ca="1">I63/I61</f>
        <v>#N/A</v>
      </c>
      <c r="J64" s="593" t="e">
        <f ca="1">IF(J61&gt; 0,J63/J61," ")</f>
        <v>#N/A</v>
      </c>
      <c r="K64" s="594"/>
      <c r="L64" s="721"/>
      <c r="M64" s="722"/>
      <c r="N64" s="722"/>
      <c r="O64" s="722"/>
      <c r="P64" s="721"/>
      <c r="Q64" s="722"/>
      <c r="R64" s="705"/>
      <c r="S64" s="484"/>
      <c r="T64" s="513"/>
      <c r="U64" s="779"/>
      <c r="V64" s="1259"/>
      <c r="W64" s="1259"/>
      <c r="X64" s="1259"/>
      <c r="Y64" s="1259"/>
      <c r="Z64" s="1259"/>
      <c r="AA64" s="1259"/>
      <c r="AB64" s="1259"/>
      <c r="AC64" s="1259"/>
    </row>
    <row r="65" spans="1:29" s="90" customFormat="1" ht="13.5" customHeight="1" x14ac:dyDescent="0.25">
      <c r="A65" s="97"/>
      <c r="B65" s="543"/>
      <c r="C65" s="487"/>
      <c r="D65" s="531"/>
      <c r="E65" s="532"/>
      <c r="F65" s="532"/>
      <c r="G65" s="487"/>
      <c r="H65" s="487"/>
      <c r="I65" s="487"/>
      <c r="J65" s="486"/>
      <c r="K65" s="487"/>
      <c r="L65" s="708"/>
      <c r="M65" s="712"/>
      <c r="N65" s="713"/>
      <c r="O65" s="708"/>
      <c r="P65" s="708"/>
      <c r="Q65" s="708"/>
      <c r="R65" s="708"/>
      <c r="S65" s="487"/>
      <c r="T65" s="513"/>
      <c r="U65" s="779"/>
      <c r="V65" s="1259"/>
      <c r="W65" s="1259"/>
      <c r="X65" s="1259"/>
      <c r="Y65" s="1259"/>
      <c r="Z65" s="1259"/>
      <c r="AA65" s="1259"/>
      <c r="AB65" s="1259"/>
      <c r="AC65" s="1259"/>
    </row>
    <row r="66" spans="1:29" s="91" customFormat="1" ht="13.5" customHeight="1" x14ac:dyDescent="0.25">
      <c r="A66" s="98"/>
      <c r="B66" s="541"/>
      <c r="C66" s="476"/>
      <c r="D66" s="477" t="s">
        <v>159</v>
      </c>
      <c r="E66" s="478"/>
      <c r="F66" s="533" t="str">
        <f>CONCATENATE(" Прогноз изменения военной пенсии  с  ",TEXT(D71,"ДД.ММ.ГГГГ")," по ",TEXT(D72,"ДД.ММ.ГГГГ"))</f>
        <v xml:space="preserve"> Прогноз изменения военной пенсии  с  15.08.2008 по 01.10.2024</v>
      </c>
      <c r="G66" s="534"/>
      <c r="H66" s="479"/>
      <c r="I66" s="535"/>
      <c r="J66" s="479"/>
      <c r="K66" s="536"/>
      <c r="L66" s="715"/>
      <c r="M66" s="715"/>
      <c r="N66" s="714"/>
      <c r="O66" s="701"/>
      <c r="P66" s="701"/>
      <c r="Q66" s="701"/>
      <c r="R66" s="701"/>
      <c r="S66" s="476"/>
      <c r="T66" s="483"/>
      <c r="U66" s="778"/>
      <c r="V66" s="1260"/>
      <c r="W66" s="1260"/>
      <c r="X66" s="1260"/>
      <c r="Y66" s="1260"/>
      <c r="Z66" s="1260"/>
      <c r="AA66" s="1260"/>
      <c r="AB66" s="1260"/>
      <c r="AC66" s="1260"/>
    </row>
    <row r="67" spans="1:29" s="91" customFormat="1" ht="3.75" customHeight="1" thickBot="1" x14ac:dyDescent="0.3">
      <c r="A67" s="98"/>
      <c r="B67" s="541"/>
      <c r="C67" s="476"/>
      <c r="D67" s="476"/>
      <c r="E67" s="476"/>
      <c r="F67" s="476"/>
      <c r="G67" s="476"/>
      <c r="H67" s="476"/>
      <c r="I67" s="476"/>
      <c r="J67" s="480"/>
      <c r="K67" s="476"/>
      <c r="L67" s="701"/>
      <c r="M67" s="702"/>
      <c r="N67" s="714"/>
      <c r="O67" s="701"/>
      <c r="P67" s="701"/>
      <c r="Q67" s="701"/>
      <c r="R67" s="701"/>
      <c r="S67" s="476"/>
      <c r="T67" s="483"/>
      <c r="U67" s="778"/>
      <c r="V67" s="1260"/>
      <c r="W67" s="1260"/>
      <c r="X67" s="1260"/>
      <c r="Y67" s="1260"/>
      <c r="Z67" s="1260"/>
      <c r="AA67" s="1260"/>
      <c r="AB67" s="1260"/>
      <c r="AC67" s="1260"/>
    </row>
    <row r="68" spans="1:29" s="93" customFormat="1" ht="13.5" customHeight="1" x14ac:dyDescent="0.25">
      <c r="A68" s="180"/>
      <c r="B68" s="537"/>
      <c r="C68" s="490" t="s">
        <v>2</v>
      </c>
      <c r="D68" s="490" t="s">
        <v>0</v>
      </c>
      <c r="E68" s="1349" t="s">
        <v>192</v>
      </c>
      <c r="F68" s="1350"/>
      <c r="G68" s="1354"/>
      <c r="H68" s="908" t="s">
        <v>36</v>
      </c>
      <c r="I68" s="1168" t="s">
        <v>31</v>
      </c>
      <c r="J68" s="908" t="s">
        <v>8</v>
      </c>
      <c r="K68" s="1168" t="s">
        <v>9</v>
      </c>
      <c r="L68" s="699"/>
      <c r="M68" s="699"/>
      <c r="N68" s="699"/>
      <c r="O68" s="699"/>
      <c r="P68" s="698"/>
      <c r="Q68" s="698"/>
      <c r="R68" s="699"/>
      <c r="S68" s="859"/>
      <c r="T68" s="491"/>
      <c r="U68" s="780"/>
      <c r="V68" s="1261"/>
      <c r="W68" s="1261"/>
      <c r="X68" s="1261"/>
      <c r="Y68" s="1261"/>
      <c r="Z68" s="1261"/>
      <c r="AA68" s="1261"/>
      <c r="AB68" s="1261"/>
      <c r="AC68" s="1261"/>
    </row>
    <row r="69" spans="1:29" s="93" customFormat="1" ht="13.5" customHeight="1" x14ac:dyDescent="0.25">
      <c r="A69" s="180"/>
      <c r="B69" s="537"/>
      <c r="C69" s="492" t="s">
        <v>15</v>
      </c>
      <c r="D69" s="492" t="s">
        <v>17</v>
      </c>
      <c r="E69" s="495" t="s">
        <v>1</v>
      </c>
      <c r="F69" s="1174" t="s">
        <v>5</v>
      </c>
      <c r="G69" s="498" t="s">
        <v>7</v>
      </c>
      <c r="H69" s="909"/>
      <c r="I69" s="1169"/>
      <c r="J69" s="909"/>
      <c r="K69" s="1169" t="s">
        <v>145</v>
      </c>
      <c r="L69" s="699"/>
      <c r="M69" s="699"/>
      <c r="N69" s="699"/>
      <c r="O69" s="699"/>
      <c r="P69" s="699"/>
      <c r="Q69" s="699"/>
      <c r="R69" s="699"/>
      <c r="S69" s="859"/>
      <c r="T69" s="491"/>
      <c r="U69" s="780"/>
      <c r="V69" s="1261"/>
      <c r="W69" s="1261"/>
      <c r="X69" s="1261"/>
      <c r="Y69" s="1261"/>
      <c r="Z69" s="1261"/>
      <c r="AA69" s="1261"/>
      <c r="AB69" s="1261"/>
      <c r="AC69" s="1261"/>
    </row>
    <row r="70" spans="1:29" s="91" customFormat="1" ht="7.5" customHeight="1" thickBot="1" x14ac:dyDescent="0.3">
      <c r="A70" s="98"/>
      <c r="B70" s="541"/>
      <c r="C70" s="499"/>
      <c r="D70" s="500"/>
      <c r="E70" s="1170"/>
      <c r="F70" s="1175"/>
      <c r="G70" s="589"/>
      <c r="H70" s="1170"/>
      <c r="I70" s="1171"/>
      <c r="J70" s="1170"/>
      <c r="K70" s="1171"/>
      <c r="L70" s="700"/>
      <c r="M70" s="701"/>
      <c r="N70" s="701"/>
      <c r="O70" s="702"/>
      <c r="P70" s="700"/>
      <c r="Q70" s="701"/>
      <c r="R70" s="701"/>
      <c r="S70" s="476"/>
      <c r="T70" s="483"/>
      <c r="U70" s="778"/>
      <c r="V70" s="1260"/>
      <c r="W70" s="1260"/>
      <c r="X70" s="1260"/>
      <c r="Y70" s="1260"/>
      <c r="Z70" s="1260"/>
      <c r="AA70" s="1260"/>
      <c r="AB70" s="1260"/>
      <c r="AC70" s="1260"/>
    </row>
    <row r="71" spans="1:29" s="90" customFormat="1" ht="15" customHeight="1" x14ac:dyDescent="0.25">
      <c r="A71" s="97"/>
      <c r="B71" s="543"/>
      <c r="C71" s="514">
        <f ca="1">Параметры!B7</f>
        <v>1</v>
      </c>
      <c r="D71" s="506">
        <f>D51</f>
        <v>39675</v>
      </c>
      <c r="E71" s="580">
        <f ca="1">VLOOKUP(C71,__Периоды,3,0)</f>
        <v>0.54</v>
      </c>
      <c r="F71" s="1176">
        <f ca="1">VLOOKUP($C71,__ВПрасч2,5,0)</f>
        <v>26000</v>
      </c>
      <c r="G71" s="1166">
        <f ca="1">VLOOKUP($C71,__ВПрасч2,6,0)</f>
        <v>12000</v>
      </c>
      <c r="H71" s="829">
        <f ca="1">VLOOKUP($C71,__ВПрасч2,7,0)</f>
        <v>42560</v>
      </c>
      <c r="I71" s="1166">
        <f ca="1">H71*E71</f>
        <v>22982.400000000001</v>
      </c>
      <c r="J71" s="829">
        <f ca="1">H71-I71</f>
        <v>19577.599999999999</v>
      </c>
      <c r="K71" s="581">
        <f ca="1">J71/H71</f>
        <v>0.45999999999999996</v>
      </c>
      <c r="L71" s="716"/>
      <c r="M71" s="717"/>
      <c r="N71" s="705"/>
      <c r="O71" s="717"/>
      <c r="P71" s="718"/>
      <c r="Q71" s="717"/>
      <c r="R71" s="705"/>
      <c r="S71" s="484"/>
      <c r="T71" s="513"/>
      <c r="U71" s="779"/>
      <c r="V71" s="1259"/>
      <c r="W71" s="1259"/>
      <c r="X71" s="1259"/>
      <c r="Y71" s="1259"/>
      <c r="Z71" s="1259"/>
      <c r="AA71" s="1259"/>
      <c r="AB71" s="1259"/>
      <c r="AC71" s="1259"/>
    </row>
    <row r="72" spans="1:29" s="90" customFormat="1" ht="15" customHeight="1" thickBot="1" x14ac:dyDescent="0.3">
      <c r="A72" s="97"/>
      <c r="B72" s="543"/>
      <c r="C72" s="591">
        <f>Параметры!B4</f>
        <v>17</v>
      </c>
      <c r="D72" s="524">
        <f>VLOOKUP(C72,__Периоды,2,0)</f>
        <v>45566</v>
      </c>
      <c r="E72" s="929">
        <f>VLOOKUP(C72,__Периоды,3,0)</f>
        <v>0.78</v>
      </c>
      <c r="F72" s="942" t="e">
        <f ca="1">VLOOKUP($C72,__ВПрасч2,5,0)</f>
        <v>#N/A</v>
      </c>
      <c r="G72" s="1167" t="e">
        <f ca="1">VLOOKUP($C72,__ВПрасч2,6,0)</f>
        <v>#N/A</v>
      </c>
      <c r="H72" s="834" t="e">
        <f ca="1">VLOOKUP($C72,__ВПрасч2,7,0)</f>
        <v>#N/A</v>
      </c>
      <c r="I72" s="1167" t="e">
        <f ca="1">H72*E72</f>
        <v>#N/A</v>
      </c>
      <c r="J72" s="1172" t="e">
        <f ca="1">H72-I72</f>
        <v>#N/A</v>
      </c>
      <c r="K72" s="520" t="e">
        <f ca="1">J72/H72</f>
        <v>#N/A</v>
      </c>
      <c r="L72" s="716"/>
      <c r="M72" s="717"/>
      <c r="N72" s="705"/>
      <c r="O72" s="717"/>
      <c r="P72" s="718"/>
      <c r="Q72" s="717"/>
      <c r="R72" s="705"/>
      <c r="S72" s="484"/>
      <c r="T72" s="513"/>
      <c r="U72" s="779"/>
      <c r="V72" s="1259"/>
      <c r="W72" s="1259"/>
      <c r="X72" s="1259"/>
      <c r="Y72" s="1259"/>
      <c r="Z72" s="1259"/>
      <c r="AA72" s="1259"/>
      <c r="AB72" s="1259"/>
      <c r="AC72" s="1259"/>
    </row>
    <row r="73" spans="1:29" s="90" customFormat="1" ht="15" customHeight="1" x14ac:dyDescent="0.25">
      <c r="A73" s="97"/>
      <c r="B73" s="543"/>
      <c r="C73" s="1355" t="s">
        <v>146</v>
      </c>
      <c r="D73" s="1356"/>
      <c r="E73" s="1177">
        <f t="shared" ref="E73:K73" ca="1" si="49">E72-E71</f>
        <v>0.24</v>
      </c>
      <c r="F73" s="1178" t="e">
        <f t="shared" ca="1" si="49"/>
        <v>#N/A</v>
      </c>
      <c r="G73" s="832" t="e">
        <f t="shared" ca="1" si="49"/>
        <v>#N/A</v>
      </c>
      <c r="H73" s="831" t="e">
        <f t="shared" ca="1" si="49"/>
        <v>#N/A</v>
      </c>
      <c r="I73" s="832" t="e">
        <f t="shared" ca="1" si="49"/>
        <v>#N/A</v>
      </c>
      <c r="J73" s="831" t="e">
        <f t="shared" ca="1" si="49"/>
        <v>#N/A</v>
      </c>
      <c r="K73" s="1173" t="e">
        <f t="shared" ca="1" si="49"/>
        <v>#N/A</v>
      </c>
      <c r="L73" s="719"/>
      <c r="M73" s="705"/>
      <c r="N73" s="705"/>
      <c r="O73" s="717"/>
      <c r="P73" s="720"/>
      <c r="Q73" s="705"/>
      <c r="R73" s="705"/>
      <c r="S73" s="484"/>
      <c r="T73" s="513"/>
      <c r="U73" s="779"/>
      <c r="V73" s="1259"/>
      <c r="W73" s="1259"/>
      <c r="X73" s="1259"/>
      <c r="Y73" s="1259"/>
      <c r="Z73" s="1259"/>
      <c r="AA73" s="1259"/>
      <c r="AB73" s="1259"/>
      <c r="AC73" s="1259"/>
    </row>
    <row r="74" spans="1:29" s="90" customFormat="1" ht="15" customHeight="1" thickBot="1" x14ac:dyDescent="0.3">
      <c r="A74" s="97"/>
      <c r="B74" s="543"/>
      <c r="C74" s="1357" t="s">
        <v>23</v>
      </c>
      <c r="D74" s="1358"/>
      <c r="E74" s="593"/>
      <c r="F74" s="1179" t="e">
        <f ca="1">F73/F71</f>
        <v>#N/A</v>
      </c>
      <c r="G74" s="594" t="e">
        <f ca="1">G73/G71</f>
        <v>#N/A</v>
      </c>
      <c r="H74" s="593" t="e">
        <f ca="1">H73/H71</f>
        <v>#N/A</v>
      </c>
      <c r="I74" s="594" t="e">
        <f ca="1">I73/I71</f>
        <v>#N/A</v>
      </c>
      <c r="J74" s="593" t="e">
        <f ca="1">J73/J71</f>
        <v>#N/A</v>
      </c>
      <c r="K74" s="594"/>
      <c r="L74" s="721"/>
      <c r="M74" s="722"/>
      <c r="N74" s="722"/>
      <c r="O74" s="722"/>
      <c r="P74" s="721"/>
      <c r="Q74" s="722"/>
      <c r="R74" s="705"/>
      <c r="S74" s="484"/>
      <c r="T74" s="513"/>
      <c r="U74" s="779"/>
      <c r="V74" s="1259"/>
      <c r="W74" s="1259"/>
      <c r="X74" s="1259"/>
      <c r="Y74" s="1259"/>
      <c r="Z74" s="1259"/>
      <c r="AA74" s="1259"/>
      <c r="AB74" s="1259"/>
      <c r="AC74" s="1259"/>
    </row>
    <row r="75" spans="1:29" s="90" customFormat="1" ht="15" customHeight="1" x14ac:dyDescent="0.25">
      <c r="A75" s="97"/>
      <c r="B75" s="543"/>
      <c r="C75" s="488"/>
      <c r="D75" s="488"/>
      <c r="E75" s="532"/>
      <c r="F75" s="532"/>
      <c r="G75" s="532"/>
      <c r="H75" s="532"/>
      <c r="I75" s="532"/>
      <c r="J75" s="532"/>
      <c r="K75" s="532"/>
      <c r="L75" s="721"/>
      <c r="M75" s="722"/>
      <c r="N75" s="722"/>
      <c r="O75" s="722"/>
      <c r="P75" s="721"/>
      <c r="Q75" s="722"/>
      <c r="R75" s="705"/>
      <c r="S75" s="484"/>
      <c r="T75" s="513"/>
      <c r="U75" s="779"/>
      <c r="V75" s="1259"/>
      <c r="W75" s="1259"/>
      <c r="X75" s="1259"/>
      <c r="Y75" s="1259"/>
      <c r="Z75" s="1259"/>
      <c r="AA75" s="1259"/>
      <c r="AB75" s="1259"/>
      <c r="AC75" s="1259"/>
    </row>
    <row r="76" spans="1:29" s="91" customFormat="1" ht="13.5" customHeight="1" x14ac:dyDescent="0.25">
      <c r="A76" s="98"/>
      <c r="B76" s="541"/>
      <c r="C76" s="476"/>
      <c r="D76" s="477" t="s">
        <v>244</v>
      </c>
      <c r="E76" s="478"/>
      <c r="F76" s="479" t="s">
        <v>231</v>
      </c>
      <c r="G76" s="479"/>
      <c r="H76" s="479"/>
      <c r="I76" s="479"/>
      <c r="J76" s="479"/>
      <c r="K76" s="476"/>
      <c r="L76" s="476"/>
      <c r="M76" s="481"/>
      <c r="N76" s="482"/>
      <c r="O76" s="476"/>
      <c r="P76" s="476"/>
      <c r="Q76" s="476"/>
      <c r="R76" s="476"/>
      <c r="S76" s="476"/>
      <c r="T76" s="483"/>
      <c r="U76" s="778"/>
      <c r="V76" s="1260"/>
      <c r="W76" s="1260"/>
      <c r="X76" s="1260"/>
      <c r="Y76" s="1260"/>
      <c r="Z76" s="1260"/>
      <c r="AA76" s="1260"/>
      <c r="AB76" s="1260"/>
      <c r="AC76" s="1260"/>
    </row>
    <row r="77" spans="1:29" s="90" customFormat="1" ht="7.5" customHeight="1" thickBot="1" x14ac:dyDescent="0.3">
      <c r="A77" s="179"/>
      <c r="B77" s="543"/>
      <c r="C77" s="484"/>
      <c r="D77" s="484"/>
      <c r="E77" s="485"/>
      <c r="F77" s="485"/>
      <c r="G77" s="484"/>
      <c r="H77" s="484"/>
      <c r="I77" s="484"/>
      <c r="J77" s="486"/>
      <c r="K77" s="487"/>
      <c r="L77" s="487"/>
      <c r="M77" s="488"/>
      <c r="N77" s="489"/>
      <c r="O77" s="487"/>
      <c r="P77" s="487"/>
      <c r="Q77" s="487"/>
      <c r="R77" s="487"/>
      <c r="S77" s="487"/>
      <c r="T77" s="513"/>
      <c r="U77" s="779"/>
      <c r="V77" s="1259"/>
      <c r="W77" s="1259"/>
      <c r="X77" s="1259"/>
      <c r="Y77" s="1259"/>
      <c r="Z77" s="1259"/>
      <c r="AA77" s="1259"/>
      <c r="AB77" s="1259"/>
      <c r="AC77" s="1259"/>
    </row>
    <row r="78" spans="1:29" s="93" customFormat="1" ht="13.5" customHeight="1" x14ac:dyDescent="0.25">
      <c r="A78" s="181">
        <f ca="1">COUNT(C82:C91)</f>
        <v>9</v>
      </c>
      <c r="B78" s="607"/>
      <c r="C78" s="490" t="s">
        <v>2</v>
      </c>
      <c r="D78" s="490" t="s">
        <v>0</v>
      </c>
      <c r="E78" s="908" t="s">
        <v>70</v>
      </c>
      <c r="F78" s="925" t="s">
        <v>36</v>
      </c>
      <c r="G78" s="901" t="s">
        <v>237</v>
      </c>
      <c r="H78" s="908" t="s">
        <v>1</v>
      </c>
      <c r="I78" s="925" t="s">
        <v>31</v>
      </c>
      <c r="J78" s="901" t="s">
        <v>237</v>
      </c>
      <c r="K78" s="900" t="s">
        <v>228</v>
      </c>
      <c r="L78" s="933" t="s">
        <v>239</v>
      </c>
      <c r="M78" s="934" t="s">
        <v>229</v>
      </c>
      <c r="N78" s="1350" t="s">
        <v>264</v>
      </c>
      <c r="O78" s="1350"/>
      <c r="P78" s="1359"/>
      <c r="Q78" s="1360"/>
      <c r="R78" s="943"/>
      <c r="S78" s="943"/>
      <c r="T78" s="491"/>
      <c r="U78" s="780"/>
      <c r="V78" s="1262"/>
      <c r="W78" s="1263"/>
      <c r="X78" s="1263"/>
      <c r="Y78" s="1263"/>
      <c r="Z78" s="1263"/>
      <c r="AA78" s="1261"/>
      <c r="AB78" s="1261"/>
      <c r="AC78" s="1261"/>
    </row>
    <row r="79" spans="1:29" s="93" customFormat="1" ht="13.5" customHeight="1" x14ac:dyDescent="0.25">
      <c r="A79" s="183">
        <f ca="1">Параметры!B4-Параметры!B7+1</f>
        <v>17</v>
      </c>
      <c r="B79" s="607"/>
      <c r="C79" s="492" t="s">
        <v>15</v>
      </c>
      <c r="D79" s="492" t="s">
        <v>17</v>
      </c>
      <c r="E79" s="909"/>
      <c r="F79" s="926"/>
      <c r="G79" s="902" t="s">
        <v>238</v>
      </c>
      <c r="H79" s="909"/>
      <c r="I79" s="926"/>
      <c r="J79" s="902" t="s">
        <v>238</v>
      </c>
      <c r="K79" s="911"/>
      <c r="L79" s="935" t="s">
        <v>263</v>
      </c>
      <c r="M79" s="936" t="s">
        <v>56</v>
      </c>
      <c r="N79" s="497" t="s">
        <v>192</v>
      </c>
      <c r="O79" s="917" t="s">
        <v>9</v>
      </c>
      <c r="P79" s="918" t="s">
        <v>240</v>
      </c>
      <c r="Q79" s="914" t="s">
        <v>9</v>
      </c>
      <c r="R79" s="943"/>
      <c r="S79" s="943"/>
      <c r="T79" s="491"/>
      <c r="U79" s="780"/>
      <c r="V79" s="1262"/>
      <c r="W79" s="1263"/>
      <c r="X79" s="1263"/>
      <c r="Y79" s="1263"/>
      <c r="Z79" s="1263"/>
      <c r="AA79" s="1261"/>
      <c r="AB79" s="1261"/>
      <c r="AC79" s="1261"/>
    </row>
    <row r="80" spans="1:29" s="91" customFormat="1" ht="15" customHeight="1" thickBot="1" x14ac:dyDescent="0.3">
      <c r="A80" s="98">
        <f ca="1">IF(A78=A79,0,1)</f>
        <v>1</v>
      </c>
      <c r="B80" s="610"/>
      <c r="C80" s="499"/>
      <c r="D80" s="500"/>
      <c r="E80" s="910"/>
      <c r="F80" s="927"/>
      <c r="G80" s="903"/>
      <c r="H80" s="910"/>
      <c r="I80" s="927"/>
      <c r="J80" s="903"/>
      <c r="K80" s="912"/>
      <c r="L80" s="937"/>
      <c r="M80" s="938"/>
      <c r="N80" s="504"/>
      <c r="O80" s="919"/>
      <c r="P80" s="920"/>
      <c r="Q80" s="611"/>
      <c r="R80" s="944"/>
      <c r="S80" s="944"/>
      <c r="T80" s="483"/>
      <c r="U80" s="778"/>
      <c r="V80" s="1264"/>
      <c r="W80" s="1265"/>
      <c r="X80" s="1266"/>
      <c r="Y80" s="1266"/>
      <c r="Z80" s="1265"/>
      <c r="AA80" s="1260"/>
      <c r="AB80" s="1260"/>
      <c r="AC80" s="1260"/>
    </row>
    <row r="81" spans="1:29" s="90" customFormat="1" ht="1.5" customHeight="1" x14ac:dyDescent="0.25">
      <c r="A81" s="97"/>
      <c r="B81" s="612"/>
      <c r="C81" s="961">
        <f ca="1">Параметры!B7-1</f>
        <v>0</v>
      </c>
      <c r="D81" s="962"/>
      <c r="E81" s="963"/>
      <c r="F81" s="964">
        <f ca="1">F82</f>
        <v>42560</v>
      </c>
      <c r="G81" s="965"/>
      <c r="H81" s="963"/>
      <c r="I81" s="966">
        <f ca="1">I82</f>
        <v>22982.400000000001</v>
      </c>
      <c r="J81" s="965"/>
      <c r="K81" s="967"/>
      <c r="L81" s="968"/>
      <c r="M81" s="969">
        <f ca="1">M82</f>
        <v>22982.400000000001</v>
      </c>
      <c r="N81" s="966">
        <f ca="1">N82</f>
        <v>0</v>
      </c>
      <c r="O81" s="970"/>
      <c r="P81" s="966">
        <f ca="1">P82</f>
        <v>0</v>
      </c>
      <c r="Q81" s="965"/>
      <c r="R81" s="850"/>
      <c r="S81" s="850"/>
      <c r="T81" s="513"/>
      <c r="U81" s="779"/>
      <c r="V81" s="1267"/>
      <c r="W81" s="1268"/>
      <c r="X81" s="1269"/>
      <c r="Y81" s="1270"/>
      <c r="Z81" s="1268"/>
      <c r="AA81" s="1259"/>
      <c r="AB81" s="1259"/>
      <c r="AC81" s="1259"/>
    </row>
    <row r="82" spans="1:29" s="90" customFormat="1" ht="15" customHeight="1" x14ac:dyDescent="0.25">
      <c r="A82" s="97"/>
      <c r="B82" s="612"/>
      <c r="C82" s="613">
        <f t="shared" ref="C82:C90" ca="1" si="50">C81+1</f>
        <v>1</v>
      </c>
      <c r="D82" s="515">
        <f>D71</f>
        <v>39675</v>
      </c>
      <c r="E82" s="516" t="str">
        <f ca="1">IF(C82 = Параметры!$B$7,"",VLOOKUP(C82,__Периоды,4,0))</f>
        <v/>
      </c>
      <c r="F82" s="931">
        <f t="shared" ref="F82:F90" ca="1" si="51">I35</f>
        <v>42560</v>
      </c>
      <c r="G82" s="904">
        <f ca="1">F82/$F$81 - 1</f>
        <v>0</v>
      </c>
      <c r="H82" s="953">
        <f t="shared" ref="H82:H85" ca="1" si="52">VLOOKUP(C82,__Периоды,3,0)</f>
        <v>0.54</v>
      </c>
      <c r="I82" s="931">
        <f t="shared" ref="I82:I85" ca="1" si="53">F82*H82</f>
        <v>22982.400000000001</v>
      </c>
      <c r="J82" s="904">
        <f ca="1">I82/$I$81 - 1</f>
        <v>0</v>
      </c>
      <c r="K82" s="955">
        <f t="shared" ref="K82:K85" ca="1" si="54">VLOOKUP(C82,__Периоды,10,0)</f>
        <v>0</v>
      </c>
      <c r="L82" s="939">
        <f t="shared" ref="L82:L85" ca="1" si="55">ROUND(I82*K82,2)</f>
        <v>0</v>
      </c>
      <c r="M82" s="940">
        <f t="shared" ref="M82" ca="1" si="56">I82*(1 + K82)</f>
        <v>22982.400000000001</v>
      </c>
      <c r="N82" s="875">
        <f t="shared" ref="N82:N85" ca="1" si="57">M82-M81</f>
        <v>0</v>
      </c>
      <c r="O82" s="921">
        <f t="shared" ref="O82:O85" ca="1" si="58">N82/M81</f>
        <v>0</v>
      </c>
      <c r="P82" s="922">
        <f t="shared" ref="P82:P85" ca="1" si="59">M82 -$M$81</f>
        <v>0</v>
      </c>
      <c r="Q82" s="915">
        <f ca="1">P82/$M$81</f>
        <v>0</v>
      </c>
      <c r="R82" s="850"/>
      <c r="S82" s="850"/>
      <c r="T82" s="513"/>
      <c r="U82" s="779"/>
      <c r="V82" s="1267"/>
      <c r="W82" s="1271"/>
      <c r="X82" s="1271"/>
      <c r="Y82" s="1271"/>
      <c r="Z82" s="1272"/>
      <c r="AA82" s="1259"/>
      <c r="AB82" s="1259"/>
      <c r="AC82" s="1259"/>
    </row>
    <row r="83" spans="1:29" s="90" customFormat="1" ht="15" customHeight="1" x14ac:dyDescent="0.25">
      <c r="A83" s="97"/>
      <c r="B83" s="612"/>
      <c r="C83" s="613">
        <f t="shared" ca="1" si="50"/>
        <v>2</v>
      </c>
      <c r="D83" s="515">
        <f t="shared" ref="D83:D88" ca="1" si="60">VLOOKUP(C83,__Периоды,2,0)</f>
        <v>41275</v>
      </c>
      <c r="E83" s="516">
        <f ca="1">IF(C83 = Параметры!$B$7,"",VLOOKUP(C83,__Периоды,4,0))</f>
        <v>0</v>
      </c>
      <c r="F83" s="931">
        <f t="shared" ca="1" si="51"/>
        <v>42560</v>
      </c>
      <c r="G83" s="904">
        <f t="shared" ref="G83:G85" ca="1" si="61">F83/$F$81 - 1</f>
        <v>0</v>
      </c>
      <c r="H83" s="953">
        <f t="shared" ca="1" si="52"/>
        <v>0.56000000000000005</v>
      </c>
      <c r="I83" s="931">
        <f t="shared" ca="1" si="53"/>
        <v>23833.600000000002</v>
      </c>
      <c r="J83" s="904">
        <f t="shared" ref="J83:J85" ca="1" si="62">I83/$I$81 - 1</f>
        <v>3.7037037037036979E-2</v>
      </c>
      <c r="K83" s="955">
        <f t="shared" ca="1" si="54"/>
        <v>0</v>
      </c>
      <c r="L83" s="939">
        <f t="shared" ca="1" si="55"/>
        <v>0</v>
      </c>
      <c r="M83" s="940">
        <f t="shared" ref="M83:M85" ca="1" si="63">I83+ L83</f>
        <v>23833.600000000002</v>
      </c>
      <c r="N83" s="875">
        <f t="shared" ca="1" si="57"/>
        <v>851.20000000000073</v>
      </c>
      <c r="O83" s="921">
        <f t="shared" ca="1" si="58"/>
        <v>3.703703703703707E-2</v>
      </c>
      <c r="P83" s="922">
        <f t="shared" ca="1" si="59"/>
        <v>851.20000000000073</v>
      </c>
      <c r="Q83" s="915">
        <f t="shared" ref="Q83:Q85" ca="1" si="64">P83/$M$81</f>
        <v>3.703703703703707E-2</v>
      </c>
      <c r="R83" s="850"/>
      <c r="S83" s="850"/>
      <c r="T83" s="513"/>
      <c r="U83" s="779"/>
      <c r="V83" s="1267"/>
      <c r="W83" s="1271"/>
      <c r="X83" s="1271"/>
      <c r="Y83" s="1271"/>
      <c r="Z83" s="1272"/>
      <c r="AA83" s="1259"/>
      <c r="AB83" s="1259"/>
      <c r="AC83" s="1259"/>
    </row>
    <row r="84" spans="1:29" s="90" customFormat="1" ht="15" customHeight="1" x14ac:dyDescent="0.25">
      <c r="A84" s="97"/>
      <c r="B84" s="612"/>
      <c r="C84" s="613">
        <f t="shared" ca="1" si="50"/>
        <v>3</v>
      </c>
      <c r="D84" s="515">
        <f t="shared" ca="1" si="60"/>
        <v>41548</v>
      </c>
      <c r="E84" s="516">
        <f ca="1">IF(C84 = Параметры!$B$7,"",VLOOKUP(C84,__Периоды,4,0))</f>
        <v>0</v>
      </c>
      <c r="F84" s="931">
        <f t="shared" ca="1" si="51"/>
        <v>42560</v>
      </c>
      <c r="G84" s="904">
        <f t="shared" ca="1" si="61"/>
        <v>0</v>
      </c>
      <c r="H84" s="953">
        <f t="shared" ca="1" si="52"/>
        <v>0.58050000000000002</v>
      </c>
      <c r="I84" s="931">
        <f t="shared" ca="1" si="53"/>
        <v>24706.080000000002</v>
      </c>
      <c r="J84" s="904">
        <f t="shared" ca="1" si="62"/>
        <v>7.4999999999999956E-2</v>
      </c>
      <c r="K84" s="955">
        <f t="shared" ca="1" si="54"/>
        <v>0</v>
      </c>
      <c r="L84" s="939">
        <f t="shared" ca="1" si="55"/>
        <v>0</v>
      </c>
      <c r="M84" s="940">
        <f t="shared" ca="1" si="63"/>
        <v>24706.080000000002</v>
      </c>
      <c r="N84" s="875">
        <f t="shared" ca="1" si="57"/>
        <v>872.47999999999956</v>
      </c>
      <c r="O84" s="921">
        <f t="shared" ca="1" si="58"/>
        <v>3.6607142857142838E-2</v>
      </c>
      <c r="P84" s="922">
        <f t="shared" ca="1" si="59"/>
        <v>1723.6800000000003</v>
      </c>
      <c r="Q84" s="915">
        <f t="shared" ca="1" si="64"/>
        <v>7.5000000000000011E-2</v>
      </c>
      <c r="R84" s="850"/>
      <c r="S84" s="850"/>
      <c r="T84" s="513"/>
      <c r="U84" s="779"/>
      <c r="V84" s="1267"/>
      <c r="W84" s="1271"/>
      <c r="X84" s="1271"/>
      <c r="Y84" s="1271"/>
      <c r="Z84" s="1272"/>
      <c r="AA84" s="1259"/>
      <c r="AB84" s="1259"/>
      <c r="AC84" s="1259"/>
    </row>
    <row r="85" spans="1:29" s="90" customFormat="1" ht="15" customHeight="1" x14ac:dyDescent="0.25">
      <c r="A85" s="97"/>
      <c r="B85" s="612"/>
      <c r="C85" s="613">
        <f t="shared" ca="1" si="50"/>
        <v>4</v>
      </c>
      <c r="D85" s="515">
        <f t="shared" ca="1" si="60"/>
        <v>41640</v>
      </c>
      <c r="E85" s="516">
        <f ca="1">IF(C85 = Параметры!$B$7,"",VLOOKUP(C85,__Периоды,4,0))</f>
        <v>0</v>
      </c>
      <c r="F85" s="931">
        <f t="shared" ca="1" si="51"/>
        <v>42560</v>
      </c>
      <c r="G85" s="904">
        <f t="shared" ca="1" si="61"/>
        <v>0</v>
      </c>
      <c r="H85" s="953">
        <f t="shared" ca="1" si="52"/>
        <v>0.60050000000000003</v>
      </c>
      <c r="I85" s="931">
        <f t="shared" ca="1" si="53"/>
        <v>25557.280000000002</v>
      </c>
      <c r="J85" s="904">
        <f t="shared" ca="1" si="62"/>
        <v>0.11203703703703716</v>
      </c>
      <c r="K85" s="955">
        <f t="shared" ca="1" si="54"/>
        <v>0</v>
      </c>
      <c r="L85" s="939">
        <f t="shared" ca="1" si="55"/>
        <v>0</v>
      </c>
      <c r="M85" s="940">
        <f t="shared" ca="1" si="63"/>
        <v>25557.280000000002</v>
      </c>
      <c r="N85" s="875">
        <f t="shared" ca="1" si="57"/>
        <v>851.20000000000073</v>
      </c>
      <c r="O85" s="921">
        <f t="shared" ca="1" si="58"/>
        <v>3.4453057708871693E-2</v>
      </c>
      <c r="P85" s="922">
        <f t="shared" ca="1" si="59"/>
        <v>2574.880000000001</v>
      </c>
      <c r="Q85" s="915">
        <f t="shared" ca="1" si="64"/>
        <v>0.11203703703703707</v>
      </c>
      <c r="R85" s="850"/>
      <c r="S85" s="850"/>
      <c r="T85" s="513"/>
      <c r="U85" s="779"/>
      <c r="V85" s="1267"/>
      <c r="W85" s="1271"/>
      <c r="X85" s="1271"/>
      <c r="Y85" s="1271"/>
      <c r="Z85" s="1272"/>
      <c r="AA85" s="1259"/>
      <c r="AB85" s="1259"/>
      <c r="AC85" s="1259"/>
    </row>
    <row r="86" spans="1:29" s="90" customFormat="1" ht="15" customHeight="1" x14ac:dyDescent="0.25">
      <c r="A86" s="97"/>
      <c r="B86" s="612"/>
      <c r="C86" s="613">
        <f t="shared" ca="1" si="50"/>
        <v>5</v>
      </c>
      <c r="D86" s="515">
        <f t="shared" ca="1" si="60"/>
        <v>41913</v>
      </c>
      <c r="E86" s="516">
        <f ca="1">IF(C86 = Параметры!$B$7,"",VLOOKUP(C86,__Периоды,4,0))</f>
        <v>0</v>
      </c>
      <c r="F86" s="931">
        <f t="shared" ca="1" si="51"/>
        <v>42560</v>
      </c>
      <c r="G86" s="904">
        <f t="shared" ref="G86:G88" ca="1" si="65">F86/$F$81 - 1</f>
        <v>0</v>
      </c>
      <c r="H86" s="953">
        <f t="shared" ref="H86:H88" ca="1" si="66">VLOOKUP(C86,__Периоды,3,0)</f>
        <v>0.62119999999999997</v>
      </c>
      <c r="I86" s="931">
        <f t="shared" ref="I86:I88" ca="1" si="67">F86*H86</f>
        <v>26438.271999999997</v>
      </c>
      <c r="J86" s="904">
        <f t="shared" ref="J86:J88" ca="1" si="68">I86/$I$81 - 1</f>
        <v>0.15037037037037027</v>
      </c>
      <c r="K86" s="955">
        <f t="shared" ref="K86:K88" ca="1" si="69">VLOOKUP(C86,__Периоды,10,0)</f>
        <v>0</v>
      </c>
      <c r="L86" s="939">
        <f t="shared" ref="L86:L88" ca="1" si="70">ROUND(I86*K86,2)</f>
        <v>0</v>
      </c>
      <c r="M86" s="940">
        <f t="shared" ref="M86:M88" ca="1" si="71">I86+ L86</f>
        <v>26438.271999999997</v>
      </c>
      <c r="N86" s="875">
        <f t="shared" ref="N86:N88" ca="1" si="72">M86-M85</f>
        <v>880.99199999999473</v>
      </c>
      <c r="O86" s="921">
        <f t="shared" ref="O86:O88" ca="1" si="73">N86/M85</f>
        <v>3.4471273938384471E-2</v>
      </c>
      <c r="P86" s="922">
        <f t="shared" ref="P86:P88" ca="1" si="74">M86 -$M$81</f>
        <v>3455.8719999999958</v>
      </c>
      <c r="Q86" s="915">
        <f t="shared" ref="Q86:Q88" ca="1" si="75">P86/$M$81</f>
        <v>0.15037037037037018</v>
      </c>
      <c r="R86" s="850"/>
      <c r="S86" s="850"/>
      <c r="T86" s="513"/>
      <c r="U86" s="779"/>
      <c r="V86" s="1267"/>
      <c r="W86" s="1271"/>
      <c r="X86" s="1271"/>
      <c r="Y86" s="1271"/>
      <c r="Z86" s="1272"/>
      <c r="AA86" s="1259"/>
      <c r="AB86" s="1259"/>
      <c r="AC86" s="1259"/>
    </row>
    <row r="87" spans="1:29" s="90" customFormat="1" ht="15" customHeight="1" x14ac:dyDescent="0.25">
      <c r="A87" s="97"/>
      <c r="B87" s="612"/>
      <c r="C87" s="613">
        <f t="shared" ca="1" si="50"/>
        <v>6</v>
      </c>
      <c r="D87" s="515">
        <f t="shared" ca="1" si="60"/>
        <v>42278</v>
      </c>
      <c r="E87" s="516">
        <f ca="1">IF(C87 = Параметры!$B$7,"",VLOOKUP(C87,__Периоды,4,0))</f>
        <v>0</v>
      </c>
      <c r="F87" s="931">
        <f t="shared" ca="1" si="51"/>
        <v>42560</v>
      </c>
      <c r="G87" s="904">
        <f t="shared" ca="1" si="65"/>
        <v>0</v>
      </c>
      <c r="H87" s="953">
        <f t="shared" ca="1" si="66"/>
        <v>0.66779999999999995</v>
      </c>
      <c r="I87" s="931">
        <f t="shared" ca="1" si="67"/>
        <v>28421.567999999999</v>
      </c>
      <c r="J87" s="904">
        <f t="shared" ca="1" si="68"/>
        <v>0.23666666666666658</v>
      </c>
      <c r="K87" s="955">
        <f t="shared" ca="1" si="69"/>
        <v>0</v>
      </c>
      <c r="L87" s="939">
        <f t="shared" ca="1" si="70"/>
        <v>0</v>
      </c>
      <c r="M87" s="940">
        <f t="shared" ca="1" si="71"/>
        <v>28421.567999999999</v>
      </c>
      <c r="N87" s="875">
        <f t="shared" ca="1" si="72"/>
        <v>1983.2960000000021</v>
      </c>
      <c r="O87" s="921">
        <f t="shared" ca="1" si="73"/>
        <v>7.5016097875080581E-2</v>
      </c>
      <c r="P87" s="922">
        <f t="shared" ca="1" si="74"/>
        <v>5439.1679999999978</v>
      </c>
      <c r="Q87" s="915">
        <f t="shared" ca="1" si="75"/>
        <v>0.23666666666666655</v>
      </c>
      <c r="R87" s="850"/>
      <c r="S87" s="850"/>
      <c r="T87" s="513"/>
      <c r="U87" s="779"/>
      <c r="V87" s="1267"/>
      <c r="W87" s="1271"/>
      <c r="X87" s="1271"/>
      <c r="Y87" s="1271"/>
      <c r="Z87" s="1272"/>
      <c r="AA87" s="1259"/>
      <c r="AB87" s="1259"/>
      <c r="AC87" s="1259"/>
    </row>
    <row r="88" spans="1:29" s="90" customFormat="1" ht="15" customHeight="1" x14ac:dyDescent="0.25">
      <c r="A88" s="97"/>
      <c r="B88" s="612"/>
      <c r="C88" s="613">
        <f t="shared" ca="1" si="50"/>
        <v>7</v>
      </c>
      <c r="D88" s="515">
        <f t="shared" ca="1" si="60"/>
        <v>42401</v>
      </c>
      <c r="E88" s="516">
        <f ca="1">IF(C88 = Параметры!$B$7,"",VLOOKUP(C88,__Периоды,4,0))</f>
        <v>0</v>
      </c>
      <c r="F88" s="931">
        <f t="shared" ca="1" si="51"/>
        <v>42560</v>
      </c>
      <c r="G88" s="904">
        <f t="shared" ca="1" si="65"/>
        <v>0</v>
      </c>
      <c r="H88" s="953">
        <f t="shared" ca="1" si="66"/>
        <v>0.69450000000000001</v>
      </c>
      <c r="I88" s="931">
        <f t="shared" ca="1" si="67"/>
        <v>29557.920000000002</v>
      </c>
      <c r="J88" s="904">
        <f t="shared" ca="1" si="68"/>
        <v>0.2861111111111112</v>
      </c>
      <c r="K88" s="955">
        <f t="shared" ca="1" si="69"/>
        <v>0</v>
      </c>
      <c r="L88" s="939">
        <f t="shared" ca="1" si="70"/>
        <v>0</v>
      </c>
      <c r="M88" s="940">
        <f t="shared" ca="1" si="71"/>
        <v>29557.920000000002</v>
      </c>
      <c r="N88" s="875">
        <f t="shared" ca="1" si="72"/>
        <v>1136.3520000000026</v>
      </c>
      <c r="O88" s="921">
        <f t="shared" ca="1" si="73"/>
        <v>3.9982030548068377E-2</v>
      </c>
      <c r="P88" s="922">
        <f t="shared" ca="1" si="74"/>
        <v>6575.52</v>
      </c>
      <c r="Q88" s="915">
        <f t="shared" ca="1" si="75"/>
        <v>0.28611111111111109</v>
      </c>
      <c r="R88" s="850"/>
      <c r="S88" s="850"/>
      <c r="T88" s="513"/>
      <c r="U88" s="779"/>
      <c r="V88" s="1267"/>
      <c r="W88" s="1271"/>
      <c r="X88" s="1271"/>
      <c r="Y88" s="1271"/>
      <c r="Z88" s="1272"/>
      <c r="AA88" s="1259"/>
      <c r="AB88" s="1259"/>
      <c r="AC88" s="1259"/>
    </row>
    <row r="89" spans="1:29" s="90" customFormat="1" ht="15" customHeight="1" x14ac:dyDescent="0.25">
      <c r="A89" s="97"/>
      <c r="B89" s="612"/>
      <c r="C89" s="613">
        <f t="shared" ca="1" si="50"/>
        <v>8</v>
      </c>
      <c r="D89" s="515">
        <f t="shared" ref="D89" ca="1" si="76">VLOOKUP(C89,__Периоды,2,0)</f>
        <v>42767</v>
      </c>
      <c r="E89" s="516">
        <f ca="1">IF(C89 = Параметры!$B$7,"",VLOOKUP(C89,__Периоды,4,0))</f>
        <v>0</v>
      </c>
      <c r="F89" s="931">
        <f t="shared" ca="1" si="51"/>
        <v>42560</v>
      </c>
      <c r="G89" s="904">
        <f t="shared" ref="G89" ca="1" si="77">F89/$F$81 - 1</f>
        <v>0</v>
      </c>
      <c r="H89" s="953">
        <f t="shared" ref="H89" ca="1" si="78">VLOOKUP(C89,__Периоды,3,0)</f>
        <v>0.72230000000000005</v>
      </c>
      <c r="I89" s="931">
        <f t="shared" ref="I89" ca="1" si="79">F89*H89</f>
        <v>30741.088000000003</v>
      </c>
      <c r="J89" s="904">
        <f t="shared" ref="J89" ca="1" si="80">I89/$I$81 - 1</f>
        <v>0.33759259259259267</v>
      </c>
      <c r="K89" s="955">
        <f t="shared" ref="K89" ca="1" si="81">VLOOKUP(C89,__Периоды,10,0)</f>
        <v>0</v>
      </c>
      <c r="L89" s="939">
        <f t="shared" ref="L89" ca="1" si="82">ROUND(I89*K89,2)</f>
        <v>0</v>
      </c>
      <c r="M89" s="940">
        <f t="shared" ref="M89" ca="1" si="83">I89+ L89</f>
        <v>30741.088000000003</v>
      </c>
      <c r="N89" s="875">
        <f t="shared" ref="N89" ca="1" si="84">M89-M88</f>
        <v>1183.1680000000015</v>
      </c>
      <c r="O89" s="921">
        <f t="shared" ref="O89" ca="1" si="85">N89/M88</f>
        <v>4.0028797696184351E-2</v>
      </c>
      <c r="P89" s="922">
        <f t="shared" ref="P89" ca="1" si="86">M89 -$M$81</f>
        <v>7758.6880000000019</v>
      </c>
      <c r="Q89" s="915">
        <f t="shared" ref="Q89" ca="1" si="87">P89/$M$81</f>
        <v>0.33759259259259267</v>
      </c>
      <c r="R89" s="850"/>
      <c r="S89" s="850"/>
      <c r="T89" s="513"/>
      <c r="U89" s="779"/>
      <c r="V89" s="1267"/>
      <c r="W89" s="1271"/>
      <c r="X89" s="1271"/>
      <c r="Y89" s="1271"/>
      <c r="Z89" s="1272"/>
      <c r="AA89" s="1259"/>
      <c r="AB89" s="1259"/>
      <c r="AC89" s="1259"/>
    </row>
    <row r="90" spans="1:29" s="90" customFormat="1" ht="15" customHeight="1" x14ac:dyDescent="0.25">
      <c r="A90" s="97"/>
      <c r="B90" s="612"/>
      <c r="C90" s="613">
        <f t="shared" ca="1" si="50"/>
        <v>9</v>
      </c>
      <c r="D90" s="515">
        <f t="shared" ref="D90" ca="1" si="88">VLOOKUP(C90,__Периоды,2,0)</f>
        <v>43101</v>
      </c>
      <c r="E90" s="516">
        <f ca="1">IF(C90 = Параметры!$B$7,"",VLOOKUP(C90,__Периоды,4,0))</f>
        <v>0.04</v>
      </c>
      <c r="F90" s="931">
        <f t="shared" ca="1" si="51"/>
        <v>44262.400000000001</v>
      </c>
      <c r="G90" s="904">
        <f t="shared" ref="G90" ca="1" si="89">F90/$F$81 - 1</f>
        <v>4.0000000000000036E-2</v>
      </c>
      <c r="H90" s="953">
        <f t="shared" ref="H90" ca="1" si="90">VLOOKUP(C90,__Периоды,3,0)</f>
        <v>0.72230000000000005</v>
      </c>
      <c r="I90" s="931">
        <f t="shared" ref="I90" ca="1" si="91">F90*H90</f>
        <v>31970.731520000005</v>
      </c>
      <c r="J90" s="904">
        <f t="shared" ref="J90" ca="1" si="92">I90/$I$81 - 1</f>
        <v>0.3910962962962965</v>
      </c>
      <c r="K90" s="955">
        <f t="shared" ref="K90" ca="1" si="93">VLOOKUP(C90,__Периоды,10,0)</f>
        <v>0</v>
      </c>
      <c r="L90" s="939">
        <f t="shared" ref="L90" ca="1" si="94">ROUND(I90*K90,2)</f>
        <v>0</v>
      </c>
      <c r="M90" s="940">
        <f t="shared" ref="M90" ca="1" si="95">I90+ L90</f>
        <v>31970.731520000005</v>
      </c>
      <c r="N90" s="875">
        <f t="shared" ref="N90" ca="1" si="96">M90-M89</f>
        <v>1229.6435200000014</v>
      </c>
      <c r="O90" s="921">
        <f t="shared" ref="O90" ca="1" si="97">N90/M89</f>
        <v>4.0000000000000042E-2</v>
      </c>
      <c r="P90" s="922">
        <f t="shared" ref="P90" ca="1" si="98">M90 -$M$81</f>
        <v>8988.3315200000034</v>
      </c>
      <c r="Q90" s="915">
        <f t="shared" ref="Q90" ca="1" si="99">P90/$M$81</f>
        <v>0.39109629629629644</v>
      </c>
      <c r="R90" s="850"/>
      <c r="S90" s="850"/>
      <c r="T90" s="513"/>
      <c r="U90" s="779"/>
      <c r="V90" s="1267"/>
      <c r="W90" s="1271"/>
      <c r="X90" s="1271"/>
      <c r="Y90" s="1271"/>
      <c r="Z90" s="1272"/>
      <c r="AA90" s="1259"/>
      <c r="AB90" s="1259"/>
      <c r="AC90" s="1259"/>
    </row>
    <row r="91" spans="1:29" s="90" customFormat="1" ht="15" customHeight="1" thickBot="1" x14ac:dyDescent="0.3">
      <c r="A91" s="97"/>
      <c r="B91" s="612"/>
      <c r="C91" s="615"/>
      <c r="D91" s="524"/>
      <c r="E91" s="954"/>
      <c r="F91" s="932"/>
      <c r="G91" s="906"/>
      <c r="H91" s="954"/>
      <c r="I91" s="932"/>
      <c r="J91" s="906"/>
      <c r="K91" s="956"/>
      <c r="L91" s="941"/>
      <c r="M91" s="942"/>
      <c r="N91" s="932"/>
      <c r="O91" s="923"/>
      <c r="P91" s="932"/>
      <c r="Q91" s="906"/>
      <c r="R91" s="850"/>
      <c r="S91" s="850"/>
      <c r="T91" s="513"/>
      <c r="U91" s="779"/>
      <c r="V91" s="1267"/>
      <c r="W91" s="1273"/>
      <c r="X91" s="1274"/>
      <c r="Y91" s="1274"/>
      <c r="Z91" s="1272"/>
      <c r="AA91" s="1259"/>
      <c r="AB91" s="1259"/>
      <c r="AC91" s="1259"/>
    </row>
    <row r="92" spans="1:29" s="90" customFormat="1" ht="15" customHeight="1" x14ac:dyDescent="0.25">
      <c r="A92" s="97"/>
      <c r="B92" s="543"/>
      <c r="C92" s="488"/>
      <c r="D92" s="531"/>
      <c r="E92" s="532"/>
      <c r="F92" s="532"/>
      <c r="G92" s="945"/>
      <c r="H92" s="945"/>
      <c r="I92" s="945"/>
      <c r="J92" s="946"/>
      <c r="K92" s="952"/>
      <c r="L92" s="947"/>
      <c r="M92" s="947"/>
      <c r="N92" s="532"/>
      <c r="O92" s="947"/>
      <c r="P92" s="532"/>
      <c r="Q92" s="948"/>
      <c r="R92" s="532"/>
      <c r="S92" s="484"/>
      <c r="T92" s="513"/>
      <c r="U92" s="779"/>
      <c r="V92" s="1259"/>
      <c r="W92" s="1259"/>
      <c r="X92" s="1259"/>
      <c r="Y92" s="1259"/>
      <c r="Z92" s="1259"/>
      <c r="AA92" s="1259"/>
      <c r="AB92" s="1259"/>
      <c r="AC92" s="1259"/>
    </row>
    <row r="93" spans="1:29" s="91" customFormat="1" ht="13.5" customHeight="1" x14ac:dyDescent="0.25">
      <c r="A93" s="98"/>
      <c r="B93" s="541"/>
      <c r="C93" s="476"/>
      <c r="D93" s="477" t="s">
        <v>243</v>
      </c>
      <c r="E93" s="478"/>
      <c r="F93" s="533" t="str">
        <f ca="1">CONCATENATE(" Суммы выплат военной пенсии  с ", TEXT(D98,"ДД.ММ.ГГГГ")," по ",TEXT(TODAY(),"ДД.ММ.ГГГГ"))</f>
        <v xml:space="preserve"> Суммы выплат военной пенсии  с 15.08.2008 по 13.04.2022</v>
      </c>
      <c r="G93" s="479"/>
      <c r="H93" s="479"/>
      <c r="I93" s="479"/>
      <c r="J93" s="567"/>
      <c r="K93" s="476"/>
      <c r="L93" s="701"/>
      <c r="M93" s="702"/>
      <c r="N93" s="714"/>
      <c r="O93" s="701"/>
      <c r="P93" s="701"/>
      <c r="Q93" s="701"/>
      <c r="R93" s="701"/>
      <c r="S93" s="476"/>
      <c r="T93" s="483"/>
      <c r="U93" s="778"/>
      <c r="V93" s="1260"/>
      <c r="W93" s="1260"/>
      <c r="X93" s="1260"/>
      <c r="Y93" s="1260"/>
      <c r="Z93" s="1260"/>
      <c r="AA93" s="1260"/>
      <c r="AB93" s="1260"/>
      <c r="AC93" s="1260"/>
    </row>
    <row r="94" spans="1:29" s="90" customFormat="1" ht="4.5" customHeight="1" thickBot="1" x14ac:dyDescent="0.3">
      <c r="A94" s="179" t="s">
        <v>147</v>
      </c>
      <c r="B94" s="543"/>
      <c r="C94" s="484"/>
      <c r="D94" s="484"/>
      <c r="E94" s="485"/>
      <c r="F94" s="485"/>
      <c r="G94" s="484"/>
      <c r="H94" s="484"/>
      <c r="I94" s="484"/>
      <c r="J94" s="486"/>
      <c r="K94" s="487"/>
      <c r="L94" s="708"/>
      <c r="M94" s="712"/>
      <c r="N94" s="713"/>
      <c r="O94" s="708"/>
      <c r="P94" s="708"/>
      <c r="Q94" s="708"/>
      <c r="R94" s="708"/>
      <c r="S94" s="487"/>
      <c r="T94" s="513"/>
      <c r="U94" s="779"/>
      <c r="V94" s="1259"/>
      <c r="W94" s="1259"/>
      <c r="X94" s="1259"/>
      <c r="Y94" s="1259"/>
      <c r="Z94" s="1259"/>
      <c r="AA94" s="1259"/>
      <c r="AB94" s="1259"/>
      <c r="AC94" s="1259"/>
    </row>
    <row r="95" spans="1:29" s="90" customFormat="1" ht="12" customHeight="1" x14ac:dyDescent="0.25">
      <c r="A95" s="181">
        <f ca="1">COUNT(C98:C103)</f>
        <v>5</v>
      </c>
      <c r="B95" s="543"/>
      <c r="C95" s="568" t="s">
        <v>2</v>
      </c>
      <c r="D95" s="1351" t="s">
        <v>10</v>
      </c>
      <c r="E95" s="1352"/>
      <c r="F95" s="568" t="s">
        <v>25</v>
      </c>
      <c r="G95" s="568" t="s">
        <v>16</v>
      </c>
      <c r="H95" s="568" t="s">
        <v>16</v>
      </c>
      <c r="I95" s="568" t="s">
        <v>16</v>
      </c>
      <c r="J95" s="570" t="s">
        <v>173</v>
      </c>
      <c r="K95" s="571"/>
      <c r="L95" s="958"/>
      <c r="M95" s="1182"/>
      <c r="N95" s="1183"/>
      <c r="O95" s="1184"/>
      <c r="P95" s="487"/>
      <c r="Q95" s="487"/>
      <c r="R95" s="487"/>
      <c r="S95" s="487"/>
      <c r="T95" s="513"/>
      <c r="U95" s="779"/>
      <c r="V95" s="1259"/>
      <c r="W95" s="1259"/>
      <c r="X95" s="1259"/>
      <c r="Y95" s="1259"/>
      <c r="Z95" s="1259"/>
      <c r="AA95" s="1259"/>
      <c r="AB95" s="1259"/>
      <c r="AC95" s="1259"/>
    </row>
    <row r="96" spans="1:29" s="90" customFormat="1" ht="18.75" customHeight="1" thickBot="1" x14ac:dyDescent="0.3">
      <c r="A96" s="183">
        <f ca="1">Параметры!B8-Параметры!B7+1</f>
        <v>13</v>
      </c>
      <c r="B96" s="612"/>
      <c r="C96" s="1158" t="s">
        <v>15</v>
      </c>
      <c r="D96" s="573" t="s">
        <v>153</v>
      </c>
      <c r="E96" s="574" t="s">
        <v>32</v>
      </c>
      <c r="F96" s="572" t="s">
        <v>11</v>
      </c>
      <c r="G96" s="572" t="s">
        <v>39</v>
      </c>
      <c r="H96" s="572" t="s">
        <v>172</v>
      </c>
      <c r="I96" s="572" t="s">
        <v>154</v>
      </c>
      <c r="J96" s="573" t="s">
        <v>177</v>
      </c>
      <c r="K96" s="620" t="s">
        <v>198</v>
      </c>
      <c r="L96" s="959"/>
      <c r="M96" s="1185"/>
      <c r="N96" s="1183"/>
      <c r="O96" s="1253"/>
      <c r="P96" s="1256"/>
      <c r="Q96" s="487"/>
      <c r="R96" s="487"/>
      <c r="S96" s="487"/>
      <c r="T96" s="513"/>
      <c r="U96" s="779"/>
      <c r="V96" s="1259"/>
      <c r="W96" s="1259"/>
      <c r="X96" s="1259"/>
      <c r="Y96" s="1259"/>
      <c r="Z96" s="1259"/>
      <c r="AA96" s="1259"/>
      <c r="AB96" s="1259"/>
      <c r="AC96" s="1259"/>
    </row>
    <row r="97" spans="1:29" s="90" customFormat="1" ht="5.25" customHeight="1" x14ac:dyDescent="0.25">
      <c r="A97" s="98">
        <f ca="1">IF(A95=A96,0,1)</f>
        <v>1</v>
      </c>
      <c r="B97" s="543"/>
      <c r="C97" s="971">
        <f ca="1">Параметры!B7-1</f>
        <v>0</v>
      </c>
      <c r="D97" s="972"/>
      <c r="E97" s="973"/>
      <c r="F97" s="1249"/>
      <c r="G97" s="974"/>
      <c r="H97" s="974"/>
      <c r="I97" s="974"/>
      <c r="J97" s="975"/>
      <c r="K97" s="976"/>
      <c r="L97" s="543"/>
      <c r="M97" s="1185"/>
      <c r="N97" s="1183"/>
      <c r="O97" s="1253"/>
      <c r="P97" s="487"/>
      <c r="Q97" s="487"/>
      <c r="R97" s="487"/>
      <c r="S97" s="487"/>
      <c r="T97" s="513"/>
      <c r="U97" s="779"/>
      <c r="V97" s="1259"/>
      <c r="W97" s="1259"/>
      <c r="X97" s="1259"/>
      <c r="Y97" s="1259"/>
      <c r="Z97" s="1259"/>
      <c r="AA97" s="1259"/>
      <c r="AB97" s="1259"/>
      <c r="AC97" s="1259"/>
    </row>
    <row r="98" spans="1:29" s="90" customFormat="1" ht="15" customHeight="1" x14ac:dyDescent="0.25">
      <c r="A98" s="97"/>
      <c r="B98" s="543"/>
      <c r="C98" s="621">
        <f ca="1">C97+1</f>
        <v>1</v>
      </c>
      <c r="D98" s="459">
        <f ca="1">IF(C98=Параметры!$B$7,'Исходные данные'!J12,VLOOKUP('Военная пенсия 2'!C98,__Периоды,2,0))</f>
        <v>39675</v>
      </c>
      <c r="E98" s="622">
        <f ca="1">IF(C98&lt;Параметры!B$8,VLOOKUP(C98+1,__Периоды,2,0)-1,Параметры!$J$88)</f>
        <v>41274</v>
      </c>
      <c r="F98" s="582">
        <f t="shared" ref="F98" ca="1" si="100">IF(C98&gt;0,DATEDIF(D98,E98,"m")+1, 0)</f>
        <v>53</v>
      </c>
      <c r="G98" s="623">
        <f ca="1">F82*X98</f>
        <v>2236459.3548387098</v>
      </c>
      <c r="H98" s="623">
        <f ca="1" xml:space="preserve"> ROUND(M82,2)*X98</f>
        <v>1207688.0516129034</v>
      </c>
      <c r="I98" s="623">
        <f t="shared" ref="I98" ca="1" si="101">IF(H98&gt;G98,0,G98 - H98)</f>
        <v>1028771.3032258064</v>
      </c>
      <c r="J98" s="624">
        <f t="shared" ref="J98" ca="1" si="102">I98/G98</f>
        <v>0.45999999999999996</v>
      </c>
      <c r="K98" s="625">
        <f t="shared" ref="K98" ca="1" si="103">I98/H98</f>
        <v>0.85185185185185175</v>
      </c>
      <c r="L98" s="1248"/>
      <c r="M98" s="850"/>
      <c r="N98" s="850"/>
      <c r="O98" s="1257"/>
      <c r="P98" s="883"/>
      <c r="Q98" s="850"/>
      <c r="R98" s="850"/>
      <c r="S98" s="487"/>
      <c r="T98" s="513"/>
      <c r="U98" s="779"/>
      <c r="V98" s="1259"/>
      <c r="W98" s="1275">
        <f ca="1">IF(J98&gt;0,DATEDIF(D98,E98,"m")+1, 0)</f>
        <v>53</v>
      </c>
      <c r="X98" s="1276">
        <f ca="1" xml:space="preserve"> IF(C98 = Параметры!$B$7,F98 - Параметры!I83,F98)</f>
        <v>52.548387096774192</v>
      </c>
      <c r="Y98" s="1259"/>
      <c r="Z98" s="1259"/>
      <c r="AA98" s="1259"/>
      <c r="AB98" s="1259"/>
      <c r="AC98" s="1259"/>
    </row>
    <row r="99" spans="1:29" s="90" customFormat="1" ht="15" customHeight="1" x14ac:dyDescent="0.25">
      <c r="A99" s="97"/>
      <c r="B99" s="543"/>
      <c r="C99" s="621">
        <f t="shared" ref="C99:C102" ca="1" si="104">C98+1</f>
        <v>2</v>
      </c>
      <c r="D99" s="459">
        <f ca="1">IF(C99=Параметры!$B$7,'Исходные данные'!J13,VLOOKUP('Военная пенсия 2'!C99,__Периоды,2,0))</f>
        <v>41275</v>
      </c>
      <c r="E99" s="622">
        <f ca="1">IF(C99&lt;Параметры!B$8,VLOOKUP(C99+1,__Периоды,2,0)-1,Параметры!$J$88)</f>
        <v>41547</v>
      </c>
      <c r="F99" s="582">
        <f t="shared" ref="F99:F100" ca="1" si="105">IF(C99&gt;0,DATEDIF(D99,E99,"m")+1, 0)</f>
        <v>9</v>
      </c>
      <c r="G99" s="623">
        <f ca="1">F83*X99</f>
        <v>383040</v>
      </c>
      <c r="H99" s="623">
        <f ca="1" xml:space="preserve"> ROUND(M83,2)*X99</f>
        <v>214502.39999999999</v>
      </c>
      <c r="I99" s="623">
        <f t="shared" ref="I99:I100" ca="1" si="106">IF(H99&gt;G99,0,G99 - H99)</f>
        <v>168537.60000000001</v>
      </c>
      <c r="J99" s="624">
        <f t="shared" ref="J99:J100" ca="1" si="107">I99/G99</f>
        <v>0.44</v>
      </c>
      <c r="K99" s="625">
        <f t="shared" ref="K99:K100" ca="1" si="108">I99/H99</f>
        <v>0.78571428571428581</v>
      </c>
      <c r="L99" s="1248"/>
      <c r="M99" s="850"/>
      <c r="N99" s="850"/>
      <c r="O99" s="1257"/>
      <c r="P99" s="883"/>
      <c r="Q99" s="850"/>
      <c r="R99" s="850"/>
      <c r="S99" s="487"/>
      <c r="T99" s="513"/>
      <c r="U99" s="779"/>
      <c r="V99" s="1259"/>
      <c r="W99" s="1275">
        <f t="shared" ref="W99:W100" ca="1" si="109">IF(J99&gt;0,DATEDIF(D99,E99,"m")+1, 0)</f>
        <v>9</v>
      </c>
      <c r="X99" s="1276">
        <f ca="1" xml:space="preserve"> IF(C99 = Параметры!$B$7,F99 - Параметры!I84,F99)</f>
        <v>9</v>
      </c>
      <c r="Y99" s="1259"/>
      <c r="Z99" s="1259"/>
      <c r="AA99" s="1259"/>
      <c r="AB99" s="1259"/>
      <c r="AC99" s="1259"/>
    </row>
    <row r="100" spans="1:29" s="90" customFormat="1" ht="15" customHeight="1" x14ac:dyDescent="0.25">
      <c r="A100" s="97"/>
      <c r="B100" s="543"/>
      <c r="C100" s="621">
        <f t="shared" ca="1" si="104"/>
        <v>3</v>
      </c>
      <c r="D100" s="459">
        <f ca="1">IF(C100=Параметры!$B$7,'Исходные данные'!J14,VLOOKUP('Военная пенсия 2'!C100,__Периоды,2,0))</f>
        <v>41548</v>
      </c>
      <c r="E100" s="622">
        <f ca="1">IF(C100&lt;Параметры!B$8,VLOOKUP(C100+1,__Периоды,2,0)-1,Параметры!$J$88)</f>
        <v>41639</v>
      </c>
      <c r="F100" s="582">
        <f t="shared" ca="1" si="105"/>
        <v>3</v>
      </c>
      <c r="G100" s="623">
        <f ca="1">F84*X100</f>
        <v>127680</v>
      </c>
      <c r="H100" s="623">
        <f ca="1" xml:space="preserve"> ROUND(M84,2)*X100</f>
        <v>74118.240000000005</v>
      </c>
      <c r="I100" s="623">
        <f t="shared" ca="1" si="106"/>
        <v>53561.759999999995</v>
      </c>
      <c r="J100" s="624">
        <f t="shared" ca="1" si="107"/>
        <v>0.41949999999999998</v>
      </c>
      <c r="K100" s="625">
        <f t="shared" ca="1" si="108"/>
        <v>0.72265288544358297</v>
      </c>
      <c r="L100" s="1248"/>
      <c r="M100" s="850"/>
      <c r="N100" s="850"/>
      <c r="O100" s="1257"/>
      <c r="P100" s="883"/>
      <c r="Q100" s="850"/>
      <c r="R100" s="850"/>
      <c r="S100" s="487"/>
      <c r="T100" s="513"/>
      <c r="U100" s="779"/>
      <c r="V100" s="1259"/>
      <c r="W100" s="1275">
        <f t="shared" ca="1" si="109"/>
        <v>3</v>
      </c>
      <c r="X100" s="1276">
        <f ca="1" xml:space="preserve"> IF(C100 = Параметры!$B$7,F100 - Параметры!I85,F100)</f>
        <v>3</v>
      </c>
      <c r="Y100" s="1259"/>
      <c r="Z100" s="1259"/>
      <c r="AA100" s="1259"/>
      <c r="AB100" s="1259"/>
      <c r="AC100" s="1259"/>
    </row>
    <row r="101" spans="1:29" s="90" customFormat="1" ht="15" customHeight="1" x14ac:dyDescent="0.25">
      <c r="A101" s="97"/>
      <c r="B101" s="543"/>
      <c r="C101" s="621">
        <f t="shared" ca="1" si="104"/>
        <v>4</v>
      </c>
      <c r="D101" s="459">
        <f ca="1">IF(C101=Параметры!$B$7,'Исходные данные'!J15,VLOOKUP('Военная пенсия 2'!C101,__Периоды,2,0))</f>
        <v>41640</v>
      </c>
      <c r="E101" s="622">
        <f ca="1">IF(C101&lt;Параметры!B$8,VLOOKUP(C101+1,__Периоды,2,0)-1,Параметры!$J$88)</f>
        <v>41912</v>
      </c>
      <c r="F101" s="582">
        <f t="shared" ref="F101" ca="1" si="110">IF(C101&gt;0,DATEDIF(D101,E101,"m")+1, 0)</f>
        <v>9</v>
      </c>
      <c r="G101" s="623">
        <f ca="1">F85*X101</f>
        <v>383040</v>
      </c>
      <c r="H101" s="623">
        <f ca="1" xml:space="preserve"> ROUND(M85,2)*X101</f>
        <v>230015.52</v>
      </c>
      <c r="I101" s="623">
        <f t="shared" ref="I101" ca="1" si="111">IF(H101&gt;G101,0,G101 - H101)</f>
        <v>153024.48000000001</v>
      </c>
      <c r="J101" s="624">
        <f t="shared" ref="J101" ca="1" si="112">I101/G101</f>
        <v>0.39950000000000002</v>
      </c>
      <c r="K101" s="625">
        <f t="shared" ref="K101" ca="1" si="113">I101/H101</f>
        <v>0.66527893422148221</v>
      </c>
      <c r="L101" s="1248"/>
      <c r="M101" s="850"/>
      <c r="N101" s="850"/>
      <c r="O101" s="1257"/>
      <c r="P101" s="883"/>
      <c r="Q101" s="850"/>
      <c r="R101" s="850"/>
      <c r="S101" s="487"/>
      <c r="T101" s="513"/>
      <c r="U101" s="779"/>
      <c r="V101" s="1259"/>
      <c r="W101" s="1275">
        <f t="shared" ref="W101" ca="1" si="114">IF(J101&gt;0,DATEDIF(D101,E101,"m")+1, 0)</f>
        <v>9</v>
      </c>
      <c r="X101" s="1276">
        <f ca="1" xml:space="preserve"> IF(C101 = Параметры!$B$7,F101 - Параметры!I86,F101)</f>
        <v>9</v>
      </c>
      <c r="Y101" s="1259"/>
      <c r="Z101" s="1259"/>
      <c r="AA101" s="1259"/>
      <c r="AB101" s="1259"/>
      <c r="AC101" s="1259"/>
    </row>
    <row r="102" spans="1:29" s="90" customFormat="1" ht="15" customHeight="1" x14ac:dyDescent="0.25">
      <c r="A102" s="97"/>
      <c r="B102" s="543"/>
      <c r="C102" s="621">
        <f t="shared" ca="1" si="104"/>
        <v>5</v>
      </c>
      <c r="D102" s="459">
        <f ca="1">IF(C102=Параметры!$B$7,'Исходные данные'!J16,VLOOKUP('Военная пенсия 2'!C102,__Периоды,2,0))</f>
        <v>41913</v>
      </c>
      <c r="E102" s="622">
        <f ca="1">IF(C102&lt;Параметры!B$8,VLOOKUP(C102+1,__Периоды,2,0)-1,Параметры!$J$88)</f>
        <v>42277</v>
      </c>
      <c r="F102" s="582">
        <f t="shared" ref="F102" ca="1" si="115">IF(C102&gt;0,DATEDIF(D102,E102,"m")+1, 0)</f>
        <v>12</v>
      </c>
      <c r="G102" s="623">
        <f ca="1">F86*X102</f>
        <v>510720</v>
      </c>
      <c r="H102" s="623">
        <f ca="1" xml:space="preserve"> ROUND(M86,2)*X102</f>
        <v>317259.24</v>
      </c>
      <c r="I102" s="623">
        <f t="shared" ref="I102" ca="1" si="116">IF(H102&gt;G102,0,G102 - H102)</f>
        <v>193460.76</v>
      </c>
      <c r="J102" s="624">
        <f t="shared" ref="J102" ca="1" si="117">I102/G102</f>
        <v>0.37880004699248121</v>
      </c>
      <c r="K102" s="625">
        <f t="shared" ref="K102" ca="1" si="118">I102/H102</f>
        <v>0.60978762982600609</v>
      </c>
      <c r="L102" s="1248"/>
      <c r="M102" s="850"/>
      <c r="N102" s="850"/>
      <c r="O102" s="1257"/>
      <c r="P102" s="883"/>
      <c r="Q102" s="850"/>
      <c r="R102" s="850"/>
      <c r="S102" s="487"/>
      <c r="T102" s="513"/>
      <c r="U102" s="779"/>
      <c r="V102" s="1259"/>
      <c r="W102" s="1275">
        <f t="shared" ref="W102" ca="1" si="119">IF(J102&gt;0,DATEDIF(D102,E102,"m")+1, 0)</f>
        <v>12</v>
      </c>
      <c r="X102" s="1276">
        <f ca="1" xml:space="preserve"> IF(C102 = Параметры!$B$7,F102 - Параметры!I87,F102)</f>
        <v>12</v>
      </c>
      <c r="Y102" s="1259"/>
      <c r="Z102" s="1259"/>
      <c r="AA102" s="1259"/>
      <c r="AB102" s="1259"/>
      <c r="AC102" s="1259"/>
    </row>
    <row r="103" spans="1:29" s="90" customFormat="1" ht="15" customHeight="1" x14ac:dyDescent="0.25">
      <c r="A103" s="97"/>
      <c r="B103" s="543"/>
      <c r="C103" s="626" t="s">
        <v>171</v>
      </c>
      <c r="D103" s="627" t="s">
        <v>171</v>
      </c>
      <c r="E103" s="628" t="s">
        <v>171</v>
      </c>
      <c r="F103" s="1250"/>
      <c r="G103" s="629"/>
      <c r="H103" s="629"/>
      <c r="I103" s="629"/>
      <c r="J103" s="630"/>
      <c r="K103" s="631"/>
      <c r="L103" s="837"/>
      <c r="M103" s="1246"/>
      <c r="N103" s="1245"/>
      <c r="O103" s="1184"/>
      <c r="P103" s="487"/>
      <c r="Q103" s="487"/>
      <c r="R103" s="487"/>
      <c r="S103" s="487"/>
      <c r="T103" s="513"/>
      <c r="U103" s="779"/>
      <c r="V103" s="1259"/>
      <c r="W103" s="1259"/>
      <c r="X103" s="1259"/>
      <c r="Y103" s="1259"/>
      <c r="Z103" s="1259"/>
      <c r="AA103" s="1259"/>
      <c r="AB103" s="1259"/>
      <c r="AC103" s="1259"/>
    </row>
    <row r="104" spans="1:29" s="90" customFormat="1" ht="15" customHeight="1" thickBot="1" x14ac:dyDescent="0.3">
      <c r="A104" s="97"/>
      <c r="B104" s="543"/>
      <c r="C104" s="949" t="s">
        <v>241</v>
      </c>
      <c r="D104" s="950">
        <f ca="1">TODAY()</f>
        <v>44664</v>
      </c>
      <c r="E104" s="632"/>
      <c r="F104" s="633"/>
      <c r="G104" s="951">
        <f ca="1">SUM(G98:G103)</f>
        <v>3640939.3548387098</v>
      </c>
      <c r="H104" s="951">
        <f ca="1">SUM(H98:H103)</f>
        <v>2043583.4516129033</v>
      </c>
      <c r="I104" s="951">
        <f ca="1">SUM(I98:I103)</f>
        <v>1597355.9032258065</v>
      </c>
      <c r="J104" s="593">
        <f ca="1">I104/G104</f>
        <v>0.43872082107134353</v>
      </c>
      <c r="K104" s="594">
        <f ca="1">I104/H104</f>
        <v>0.78164456751941769</v>
      </c>
      <c r="L104" s="960"/>
      <c r="M104" s="1246"/>
      <c r="N104" s="1247"/>
      <c r="O104" s="1184"/>
      <c r="P104" s="487"/>
      <c r="Q104" s="487"/>
      <c r="R104" s="487"/>
      <c r="S104" s="487"/>
      <c r="T104" s="513"/>
      <c r="U104" s="779"/>
      <c r="V104" s="1259"/>
      <c r="W104" s="1259"/>
      <c r="X104" s="1259"/>
      <c r="Y104" s="1259"/>
      <c r="Z104" s="1259"/>
      <c r="AA104" s="1259"/>
      <c r="AB104" s="1259"/>
      <c r="AC104" s="1259"/>
    </row>
    <row r="105" spans="1:29" s="90" customFormat="1" ht="13.5" customHeight="1" x14ac:dyDescent="0.25">
      <c r="A105" s="97"/>
      <c r="B105" s="543"/>
      <c r="C105" s="487"/>
      <c r="D105" s="531"/>
      <c r="E105" s="532"/>
      <c r="F105" s="532"/>
      <c r="G105" s="487"/>
      <c r="H105" s="487"/>
      <c r="I105" s="487"/>
      <c r="J105" s="486"/>
      <c r="K105" s="487"/>
      <c r="L105" s="708"/>
      <c r="M105" s="488"/>
      <c r="N105" s="489"/>
      <c r="O105" s="708"/>
      <c r="P105" s="708"/>
      <c r="Q105" s="708"/>
      <c r="R105" s="708"/>
      <c r="S105" s="487"/>
      <c r="T105" s="513"/>
      <c r="U105" s="779"/>
      <c r="V105" s="1259"/>
      <c r="W105" s="1259"/>
      <c r="X105" s="1259"/>
      <c r="Y105" s="1259"/>
      <c r="Z105" s="1259"/>
      <c r="AA105" s="1259"/>
      <c r="AB105" s="1259"/>
      <c r="AC105" s="1259"/>
    </row>
    <row r="106" spans="1:29" s="91" customFormat="1" ht="13.5" customHeight="1" thickBot="1" x14ac:dyDescent="0.3">
      <c r="A106" s="98"/>
      <c r="B106" s="541"/>
      <c r="C106" s="597"/>
      <c r="D106" s="597"/>
      <c r="E106" s="597"/>
      <c r="F106" s="597"/>
      <c r="G106" s="597"/>
      <c r="H106" s="597"/>
      <c r="I106" s="597"/>
      <c r="J106" s="598"/>
      <c r="K106" s="597"/>
      <c r="L106" s="723"/>
      <c r="M106" s="724"/>
      <c r="N106" s="725"/>
      <c r="O106" s="723"/>
      <c r="P106" s="723"/>
      <c r="Q106" s="723"/>
      <c r="R106" s="723"/>
      <c r="S106" s="597"/>
      <c r="T106" s="863"/>
      <c r="U106" s="778"/>
      <c r="V106" s="1260"/>
      <c r="W106" s="1260"/>
      <c r="X106" s="1260"/>
      <c r="Y106" s="1260"/>
      <c r="Z106" s="1260"/>
      <c r="AA106" s="1260"/>
      <c r="AB106" s="1260"/>
      <c r="AC106" s="1260"/>
    </row>
    <row r="107" spans="1:29" s="68" customFormat="1" ht="6.75" customHeight="1" x14ac:dyDescent="0.25">
      <c r="A107" s="1159"/>
      <c r="B107" s="450"/>
      <c r="C107" s="773"/>
      <c r="D107" s="773"/>
      <c r="E107" s="773"/>
      <c r="F107" s="773"/>
      <c r="G107" s="773"/>
      <c r="H107" s="773"/>
      <c r="I107" s="773"/>
      <c r="J107" s="774"/>
      <c r="K107" s="773"/>
      <c r="L107" s="773"/>
      <c r="M107" s="775"/>
      <c r="N107" s="776"/>
      <c r="O107" s="773"/>
      <c r="P107" s="773"/>
      <c r="Q107" s="773"/>
      <c r="R107" s="773"/>
      <c r="S107" s="773"/>
      <c r="T107" s="862"/>
      <c r="U107" s="777"/>
      <c r="V107" s="1277"/>
      <c r="W107" s="1277"/>
      <c r="X107" s="1277"/>
      <c r="Y107" s="1277"/>
      <c r="Z107" s="1277"/>
      <c r="AA107" s="1277"/>
      <c r="AB107" s="1277"/>
      <c r="AC107" s="1277"/>
    </row>
    <row r="108" spans="1:29" s="62" customFormat="1" x14ac:dyDescent="0.25">
      <c r="A108" s="99"/>
      <c r="B108" s="451"/>
      <c r="C108" s="451"/>
      <c r="D108" s="451"/>
      <c r="E108" s="451"/>
      <c r="F108" s="451"/>
      <c r="G108" s="451"/>
      <c r="H108" s="451"/>
      <c r="I108" s="451"/>
      <c r="J108" s="451"/>
      <c r="K108" s="451"/>
      <c r="L108" s="451"/>
      <c r="M108" s="452"/>
      <c r="N108" s="451"/>
      <c r="O108" s="451"/>
      <c r="P108" s="451"/>
      <c r="Q108" s="451"/>
      <c r="R108" s="451"/>
      <c r="S108" s="451"/>
      <c r="T108" s="451"/>
      <c r="V108" s="1278"/>
      <c r="W108" s="1278"/>
      <c r="X108" s="1278"/>
      <c r="Y108" s="1278"/>
      <c r="Z108" s="1278"/>
      <c r="AA108" s="1278"/>
      <c r="AB108" s="1278"/>
      <c r="AC108" s="1278"/>
    </row>
    <row r="109" spans="1:29" s="62" customFormat="1" x14ac:dyDescent="0.25">
      <c r="A109" s="99"/>
      <c r="B109" s="451"/>
      <c r="C109" s="451"/>
      <c r="D109" s="451"/>
      <c r="E109" s="451"/>
      <c r="F109" s="451"/>
      <c r="G109" s="451"/>
      <c r="H109" s="451"/>
      <c r="I109" s="451"/>
      <c r="J109" s="451"/>
      <c r="K109" s="451"/>
      <c r="L109" s="451"/>
      <c r="M109" s="452"/>
      <c r="N109" s="451"/>
      <c r="O109" s="451"/>
      <c r="P109" s="451"/>
      <c r="Q109" s="451"/>
      <c r="R109" s="451"/>
      <c r="S109" s="451"/>
      <c r="T109" s="451"/>
      <c r="V109" s="1278"/>
      <c r="W109" s="1278"/>
      <c r="X109" s="1278"/>
      <c r="Y109" s="1278"/>
      <c r="Z109" s="1278"/>
      <c r="AA109" s="1278"/>
      <c r="AB109" s="1278"/>
      <c r="AC109" s="1278"/>
    </row>
    <row r="110" spans="1:29" s="62" customFormat="1" x14ac:dyDescent="0.25">
      <c r="A110" s="99"/>
      <c r="B110" s="451"/>
      <c r="C110" s="451"/>
      <c r="D110" s="451"/>
      <c r="E110" s="451"/>
      <c r="F110" s="451"/>
      <c r="G110" s="451"/>
      <c r="H110" s="451"/>
      <c r="I110" s="451"/>
      <c r="J110" s="451"/>
      <c r="K110" s="451"/>
      <c r="L110" s="451"/>
      <c r="M110" s="452"/>
      <c r="N110" s="451"/>
      <c r="O110" s="451"/>
      <c r="P110" s="451"/>
      <c r="Q110" s="451"/>
      <c r="R110" s="451"/>
      <c r="S110" s="451"/>
      <c r="T110" s="451"/>
      <c r="V110" s="1278"/>
      <c r="W110" s="1278"/>
      <c r="X110" s="1278"/>
      <c r="Y110" s="1278"/>
      <c r="Z110" s="1278"/>
      <c r="AA110" s="1278"/>
      <c r="AB110" s="1278"/>
      <c r="AC110" s="1278"/>
    </row>
    <row r="111" spans="1:29" s="62" customFormat="1" x14ac:dyDescent="0.25">
      <c r="A111" s="99"/>
      <c r="B111" s="451"/>
      <c r="C111" s="451"/>
      <c r="D111" s="451"/>
      <c r="E111" s="451"/>
      <c r="F111" s="451"/>
      <c r="G111" s="451"/>
      <c r="H111" s="451"/>
      <c r="I111" s="451"/>
      <c r="J111" s="451"/>
      <c r="K111" s="451"/>
      <c r="L111" s="451"/>
      <c r="M111" s="452"/>
      <c r="N111" s="451"/>
      <c r="O111" s="451"/>
      <c r="P111" s="451"/>
      <c r="Q111" s="451"/>
      <c r="R111" s="451"/>
      <c r="S111" s="451"/>
      <c r="T111" s="451"/>
      <c r="V111" s="1278"/>
      <c r="W111" s="1278"/>
      <c r="X111" s="1278"/>
      <c r="Y111" s="1278"/>
      <c r="Z111" s="1278"/>
      <c r="AA111" s="1278"/>
      <c r="AB111" s="1278"/>
      <c r="AC111" s="1278"/>
    </row>
    <row r="112" spans="1:29" s="62" customFormat="1" x14ac:dyDescent="0.25">
      <c r="A112" s="99"/>
      <c r="B112" s="451"/>
      <c r="C112" s="451"/>
      <c r="D112" s="451"/>
      <c r="E112" s="451"/>
      <c r="F112" s="451"/>
      <c r="G112" s="451"/>
      <c r="H112" s="451"/>
      <c r="I112" s="451"/>
      <c r="J112" s="451"/>
      <c r="K112" s="451"/>
      <c r="L112" s="451"/>
      <c r="M112" s="452"/>
      <c r="N112" s="451"/>
      <c r="O112" s="451"/>
      <c r="P112" s="451"/>
      <c r="Q112" s="451"/>
      <c r="R112" s="451"/>
      <c r="S112" s="451"/>
      <c r="T112" s="451"/>
      <c r="V112" s="1278"/>
      <c r="W112" s="1278"/>
      <c r="X112" s="1278"/>
      <c r="Y112" s="1278"/>
      <c r="Z112" s="1278"/>
      <c r="AA112" s="1278"/>
      <c r="AB112" s="1278"/>
      <c r="AC112" s="1278"/>
    </row>
    <row r="113" spans="1:48" s="62" customFormat="1" x14ac:dyDescent="0.25">
      <c r="A113" s="99"/>
      <c r="B113" s="451"/>
      <c r="C113" s="451"/>
      <c r="D113" s="451"/>
      <c r="E113" s="451"/>
      <c r="F113" s="451"/>
      <c r="G113" s="451"/>
      <c r="H113" s="451"/>
      <c r="I113" s="451"/>
      <c r="J113" s="451"/>
      <c r="K113" s="451"/>
      <c r="L113" s="451"/>
      <c r="M113" s="452"/>
      <c r="N113" s="451"/>
      <c r="O113" s="451"/>
      <c r="P113" s="451"/>
      <c r="Q113" s="451"/>
      <c r="R113" s="451"/>
      <c r="S113" s="451"/>
      <c r="T113" s="451"/>
      <c r="V113" s="1278"/>
      <c r="W113" s="1278"/>
      <c r="X113" s="1278"/>
      <c r="Y113" s="1278"/>
      <c r="Z113" s="1278"/>
      <c r="AA113" s="1278"/>
      <c r="AB113" s="1278"/>
      <c r="AC113" s="1278"/>
    </row>
    <row r="114" spans="1:48" s="62" customFormat="1" x14ac:dyDescent="0.25">
      <c r="A114" s="99"/>
      <c r="B114" s="451"/>
      <c r="C114" s="451"/>
      <c r="D114" s="451"/>
      <c r="E114" s="451"/>
      <c r="F114" s="451"/>
      <c r="G114" s="451"/>
      <c r="H114" s="451"/>
      <c r="I114" s="451"/>
      <c r="J114" s="451"/>
      <c r="K114" s="451"/>
      <c r="L114" s="451"/>
      <c r="M114" s="452"/>
      <c r="N114" s="451"/>
      <c r="O114" s="451"/>
      <c r="P114" s="451"/>
      <c r="Q114" s="451"/>
      <c r="R114" s="451"/>
      <c r="S114" s="451"/>
      <c r="T114" s="451"/>
      <c r="V114" s="1278"/>
      <c r="W114" s="1278"/>
      <c r="X114" s="1278"/>
      <c r="Y114" s="1278"/>
      <c r="Z114" s="1278"/>
      <c r="AA114" s="1278"/>
      <c r="AB114" s="1278"/>
      <c r="AC114" s="1278"/>
    </row>
    <row r="115" spans="1:48" s="62" customFormat="1" x14ac:dyDescent="0.25">
      <c r="A115" s="99"/>
      <c r="B115" s="451"/>
      <c r="C115" s="451"/>
      <c r="D115" s="451"/>
      <c r="E115" s="451"/>
      <c r="F115" s="451"/>
      <c r="G115" s="451"/>
      <c r="H115" s="451"/>
      <c r="I115" s="451"/>
      <c r="J115" s="451"/>
      <c r="K115" s="451"/>
      <c r="L115" s="451"/>
      <c r="M115" s="452"/>
      <c r="N115" s="451"/>
      <c r="O115" s="451"/>
      <c r="P115" s="451"/>
      <c r="Q115" s="451"/>
      <c r="R115" s="451"/>
      <c r="S115" s="451"/>
      <c r="T115" s="451"/>
      <c r="V115" s="1278"/>
      <c r="W115" s="1278"/>
      <c r="X115" s="1278"/>
      <c r="Y115" s="1278"/>
      <c r="Z115" s="1278"/>
      <c r="AA115" s="1278"/>
      <c r="AB115" s="1278"/>
      <c r="AC115" s="1278"/>
    </row>
    <row r="116" spans="1:48" s="62" customFormat="1" x14ac:dyDescent="0.25">
      <c r="A116" s="99"/>
      <c r="B116" s="451"/>
      <c r="C116" s="451"/>
      <c r="D116" s="451"/>
      <c r="E116" s="451"/>
      <c r="F116" s="451"/>
      <c r="G116" s="451"/>
      <c r="H116" s="451"/>
      <c r="I116" s="451"/>
      <c r="J116" s="451"/>
      <c r="K116" s="451"/>
      <c r="L116" s="451"/>
      <c r="M116" s="452"/>
      <c r="N116" s="451"/>
      <c r="O116" s="451"/>
      <c r="P116" s="451"/>
      <c r="Q116" s="451"/>
      <c r="R116" s="451"/>
      <c r="S116" s="451"/>
      <c r="T116" s="451"/>
      <c r="V116" s="1278"/>
      <c r="W116" s="1278"/>
      <c r="X116" s="1278"/>
      <c r="Y116" s="1278"/>
      <c r="Z116" s="1278"/>
      <c r="AA116" s="1278"/>
      <c r="AB116" s="1278"/>
      <c r="AC116" s="1278"/>
    </row>
    <row r="117" spans="1:48" s="21" customFormat="1" x14ac:dyDescent="0.25">
      <c r="A117" s="99"/>
      <c r="B117" s="453"/>
      <c r="C117" s="453"/>
      <c r="D117" s="453"/>
      <c r="E117" s="453"/>
      <c r="F117" s="453"/>
      <c r="G117" s="453"/>
      <c r="H117" s="453"/>
      <c r="I117" s="453"/>
      <c r="J117" s="453"/>
      <c r="K117" s="453"/>
      <c r="L117" s="453"/>
      <c r="M117" s="454"/>
      <c r="N117" s="453"/>
      <c r="O117" s="453"/>
      <c r="P117" s="453"/>
      <c r="Q117" s="453"/>
      <c r="R117" s="453"/>
      <c r="S117" s="453"/>
      <c r="T117" s="451"/>
      <c r="V117" s="1278"/>
      <c r="W117" s="1278"/>
      <c r="X117" s="1278"/>
      <c r="Y117" s="1278"/>
      <c r="Z117" s="1278"/>
      <c r="AA117" s="1278"/>
      <c r="AB117" s="1278"/>
      <c r="AC117" s="1278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</row>
    <row r="118" spans="1:48" s="21" customFormat="1" x14ac:dyDescent="0.25">
      <c r="A118" s="99"/>
      <c r="B118" s="453"/>
      <c r="C118" s="453"/>
      <c r="D118" s="453"/>
      <c r="E118" s="453"/>
      <c r="F118" s="453"/>
      <c r="G118" s="453"/>
      <c r="H118" s="453"/>
      <c r="I118" s="453"/>
      <c r="J118" s="453"/>
      <c r="K118" s="453"/>
      <c r="L118" s="453"/>
      <c r="M118" s="454"/>
      <c r="N118" s="453"/>
      <c r="O118" s="453"/>
      <c r="P118" s="453"/>
      <c r="Q118" s="453"/>
      <c r="R118" s="453"/>
      <c r="S118" s="453"/>
      <c r="T118" s="451"/>
      <c r="V118" s="1278"/>
      <c r="W118" s="1278"/>
      <c r="X118" s="1278"/>
      <c r="Y118" s="1278"/>
      <c r="Z118" s="1278"/>
      <c r="AA118" s="1278"/>
      <c r="AB118" s="1278"/>
      <c r="AC118" s="1278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</row>
    <row r="119" spans="1:48" s="21" customFormat="1" x14ac:dyDescent="0.25">
      <c r="A119" s="99"/>
      <c r="B119" s="453"/>
      <c r="C119" s="453"/>
      <c r="D119" s="453"/>
      <c r="E119" s="453"/>
      <c r="F119" s="453"/>
      <c r="G119" s="453"/>
      <c r="H119" s="453"/>
      <c r="I119" s="453"/>
      <c r="J119" s="453"/>
      <c r="K119" s="453"/>
      <c r="L119" s="453"/>
      <c r="M119" s="454"/>
      <c r="N119" s="453"/>
      <c r="O119" s="453"/>
      <c r="P119" s="453"/>
      <c r="Q119" s="453"/>
      <c r="R119" s="453"/>
      <c r="S119" s="453"/>
      <c r="T119" s="451"/>
      <c r="V119" s="1278"/>
      <c r="W119" s="1278"/>
      <c r="X119" s="1278"/>
      <c r="Y119" s="1278"/>
      <c r="Z119" s="1278"/>
      <c r="AA119" s="1278"/>
      <c r="AB119" s="1278"/>
      <c r="AC119" s="1278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</row>
    <row r="120" spans="1:48" s="21" customFormat="1" x14ac:dyDescent="0.25">
      <c r="A120" s="99"/>
      <c r="B120" s="453"/>
      <c r="C120" s="453"/>
      <c r="D120" s="453"/>
      <c r="E120" s="453"/>
      <c r="F120" s="453"/>
      <c r="G120" s="453"/>
      <c r="H120" s="453"/>
      <c r="I120" s="453"/>
      <c r="J120" s="453"/>
      <c r="K120" s="453"/>
      <c r="L120" s="453"/>
      <c r="M120" s="454"/>
      <c r="N120" s="453"/>
      <c r="O120" s="453"/>
      <c r="P120" s="453"/>
      <c r="Q120" s="453"/>
      <c r="R120" s="453"/>
      <c r="S120" s="453"/>
      <c r="T120" s="451"/>
      <c r="V120" s="1278"/>
      <c r="W120" s="1278"/>
      <c r="X120" s="1278"/>
      <c r="Y120" s="1278"/>
      <c r="Z120" s="1278"/>
      <c r="AA120" s="1278"/>
      <c r="AB120" s="1278"/>
      <c r="AC120" s="1278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</row>
    <row r="121" spans="1:48" s="21" customFormat="1" x14ac:dyDescent="0.25">
      <c r="A121" s="99"/>
      <c r="B121" s="453"/>
      <c r="C121" s="453"/>
      <c r="D121" s="453"/>
      <c r="E121" s="453"/>
      <c r="F121" s="453"/>
      <c r="G121" s="453"/>
      <c r="H121" s="453"/>
      <c r="I121" s="453"/>
      <c r="J121" s="453"/>
      <c r="K121" s="453"/>
      <c r="L121" s="453"/>
      <c r="M121" s="454"/>
      <c r="N121" s="453"/>
      <c r="O121" s="453"/>
      <c r="P121" s="453"/>
      <c r="Q121" s="453"/>
      <c r="R121" s="453"/>
      <c r="S121" s="453"/>
      <c r="T121" s="451"/>
      <c r="V121" s="1278"/>
      <c r="W121" s="1278"/>
      <c r="X121" s="1278"/>
      <c r="Y121" s="1278"/>
      <c r="Z121" s="1278"/>
      <c r="AA121" s="1278"/>
      <c r="AB121" s="1278"/>
      <c r="AC121" s="1278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</row>
    <row r="122" spans="1:48" s="21" customFormat="1" x14ac:dyDescent="0.25">
      <c r="A122" s="99"/>
      <c r="B122" s="453"/>
      <c r="C122" s="453"/>
      <c r="D122" s="453"/>
      <c r="E122" s="453"/>
      <c r="F122" s="453"/>
      <c r="G122" s="453"/>
      <c r="H122" s="453"/>
      <c r="I122" s="453"/>
      <c r="J122" s="453"/>
      <c r="K122" s="453"/>
      <c r="L122" s="453"/>
      <c r="M122" s="454"/>
      <c r="N122" s="453"/>
      <c r="O122" s="453"/>
      <c r="P122" s="453"/>
      <c r="Q122" s="453"/>
      <c r="R122" s="453"/>
      <c r="S122" s="453"/>
      <c r="T122" s="451"/>
      <c r="V122" s="1278"/>
      <c r="W122" s="1278"/>
      <c r="X122" s="1278"/>
      <c r="Y122" s="1278"/>
      <c r="Z122" s="1278"/>
      <c r="AA122" s="1278"/>
      <c r="AB122" s="1278"/>
      <c r="AC122" s="1278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</row>
    <row r="123" spans="1:48" s="21" customFormat="1" x14ac:dyDescent="0.25">
      <c r="A123" s="99"/>
      <c r="B123" s="453"/>
      <c r="C123" s="453"/>
      <c r="D123" s="453"/>
      <c r="E123" s="453"/>
      <c r="F123" s="453"/>
      <c r="G123" s="453"/>
      <c r="H123" s="453"/>
      <c r="I123" s="453"/>
      <c r="J123" s="453"/>
      <c r="K123" s="453"/>
      <c r="L123" s="453"/>
      <c r="M123" s="454"/>
      <c r="N123" s="453"/>
      <c r="O123" s="453"/>
      <c r="P123" s="453"/>
      <c r="Q123" s="453"/>
      <c r="R123" s="453"/>
      <c r="S123" s="453"/>
      <c r="T123" s="451"/>
      <c r="V123" s="1278"/>
      <c r="W123" s="1278"/>
      <c r="X123" s="1278"/>
      <c r="Y123" s="1278"/>
      <c r="Z123" s="1278"/>
      <c r="AA123" s="1278"/>
      <c r="AB123" s="1278"/>
      <c r="AC123" s="1278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</row>
    <row r="124" spans="1:48" s="21" customFormat="1" x14ac:dyDescent="0.25">
      <c r="A124" s="99"/>
      <c r="B124" s="453"/>
      <c r="C124" s="453"/>
      <c r="D124" s="453"/>
      <c r="E124" s="453"/>
      <c r="F124" s="453"/>
      <c r="G124" s="453"/>
      <c r="H124" s="453"/>
      <c r="I124" s="453"/>
      <c r="J124" s="453"/>
      <c r="K124" s="453"/>
      <c r="L124" s="453"/>
      <c r="M124" s="454"/>
      <c r="N124" s="453"/>
      <c r="O124" s="453"/>
      <c r="P124" s="453"/>
      <c r="Q124" s="453"/>
      <c r="R124" s="453"/>
      <c r="S124" s="453"/>
      <c r="T124" s="451"/>
      <c r="V124" s="1278"/>
      <c r="W124" s="1278"/>
      <c r="X124" s="1278"/>
      <c r="Y124" s="1278"/>
      <c r="Z124" s="1278"/>
      <c r="AA124" s="1278"/>
      <c r="AB124" s="1278"/>
      <c r="AC124" s="1278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</row>
    <row r="125" spans="1:48" s="21" customFormat="1" x14ac:dyDescent="0.25">
      <c r="A125" s="99"/>
      <c r="B125" s="453"/>
      <c r="C125" s="453"/>
      <c r="D125" s="453"/>
      <c r="E125" s="453"/>
      <c r="F125" s="453"/>
      <c r="G125" s="453"/>
      <c r="H125" s="453"/>
      <c r="I125" s="453"/>
      <c r="J125" s="453"/>
      <c r="K125" s="453"/>
      <c r="L125" s="453"/>
      <c r="M125" s="454"/>
      <c r="N125" s="453"/>
      <c r="O125" s="453"/>
      <c r="P125" s="453"/>
      <c r="Q125" s="453"/>
      <c r="R125" s="453"/>
      <c r="S125" s="453"/>
      <c r="T125" s="451"/>
      <c r="V125" s="1278"/>
      <c r="W125" s="1278"/>
      <c r="X125" s="1278"/>
      <c r="Y125" s="1278"/>
      <c r="Z125" s="1278"/>
      <c r="AA125" s="1278"/>
      <c r="AB125" s="1278"/>
      <c r="AC125" s="1278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</row>
    <row r="126" spans="1:48" s="21" customFormat="1" x14ac:dyDescent="0.25">
      <c r="A126" s="99"/>
      <c r="B126" s="453"/>
      <c r="C126" s="453"/>
      <c r="D126" s="453"/>
      <c r="E126" s="453"/>
      <c r="F126" s="453"/>
      <c r="G126" s="453"/>
      <c r="H126" s="453"/>
      <c r="I126" s="453"/>
      <c r="J126" s="453"/>
      <c r="K126" s="453"/>
      <c r="L126" s="453"/>
      <c r="M126" s="454"/>
      <c r="N126" s="453"/>
      <c r="O126" s="453"/>
      <c r="P126" s="453"/>
      <c r="Q126" s="453"/>
      <c r="R126" s="453"/>
      <c r="S126" s="453"/>
      <c r="T126" s="451"/>
      <c r="V126" s="1278"/>
      <c r="W126" s="1278"/>
      <c r="X126" s="1278"/>
      <c r="Y126" s="1278"/>
      <c r="Z126" s="1278"/>
      <c r="AA126" s="1278"/>
      <c r="AB126" s="1278"/>
      <c r="AC126" s="1278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</row>
    <row r="127" spans="1:48" s="21" customFormat="1" x14ac:dyDescent="0.25">
      <c r="A127" s="99"/>
      <c r="B127" s="453"/>
      <c r="C127" s="453"/>
      <c r="D127" s="453"/>
      <c r="E127" s="453"/>
      <c r="F127" s="453"/>
      <c r="G127" s="453"/>
      <c r="H127" s="453"/>
      <c r="I127" s="453"/>
      <c r="J127" s="453"/>
      <c r="K127" s="453"/>
      <c r="L127" s="453"/>
      <c r="M127" s="454"/>
      <c r="N127" s="453"/>
      <c r="O127" s="453"/>
      <c r="P127" s="453"/>
      <c r="Q127" s="453"/>
      <c r="R127" s="453"/>
      <c r="S127" s="453"/>
      <c r="T127" s="451"/>
      <c r="V127" s="1278"/>
      <c r="W127" s="1278"/>
      <c r="X127" s="1278"/>
      <c r="Y127" s="1278"/>
      <c r="Z127" s="1278"/>
      <c r="AA127" s="1278"/>
      <c r="AB127" s="1278"/>
      <c r="AC127" s="1278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</row>
    <row r="128" spans="1:48" s="21" customFormat="1" x14ac:dyDescent="0.25">
      <c r="A128" s="99"/>
      <c r="B128" s="453"/>
      <c r="C128" s="453"/>
      <c r="D128" s="453"/>
      <c r="E128" s="453"/>
      <c r="F128" s="453"/>
      <c r="G128" s="453"/>
      <c r="H128" s="453"/>
      <c r="I128" s="453"/>
      <c r="J128" s="453"/>
      <c r="K128" s="453"/>
      <c r="L128" s="453"/>
      <c r="M128" s="454"/>
      <c r="N128" s="453"/>
      <c r="O128" s="453"/>
      <c r="P128" s="453"/>
      <c r="Q128" s="453"/>
      <c r="R128" s="453"/>
      <c r="S128" s="453"/>
      <c r="T128" s="451"/>
      <c r="V128" s="1278"/>
      <c r="W128" s="1278"/>
      <c r="X128" s="1278"/>
      <c r="Y128" s="1278"/>
      <c r="Z128" s="1278"/>
      <c r="AA128" s="1278"/>
      <c r="AB128" s="1278"/>
      <c r="AC128" s="1278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</row>
    <row r="129" spans="1:48" s="21" customFormat="1" x14ac:dyDescent="0.25">
      <c r="A129" s="99"/>
      <c r="B129" s="453"/>
      <c r="C129" s="453"/>
      <c r="D129" s="453"/>
      <c r="E129" s="453"/>
      <c r="F129" s="453"/>
      <c r="G129" s="453"/>
      <c r="H129" s="453"/>
      <c r="I129" s="453"/>
      <c r="J129" s="453"/>
      <c r="K129" s="453"/>
      <c r="L129" s="453"/>
      <c r="M129" s="454"/>
      <c r="N129" s="453"/>
      <c r="O129" s="453"/>
      <c r="P129" s="453"/>
      <c r="Q129" s="453"/>
      <c r="R129" s="453"/>
      <c r="S129" s="453"/>
      <c r="T129" s="451"/>
      <c r="V129" s="1278"/>
      <c r="W129" s="1278"/>
      <c r="X129" s="1278"/>
      <c r="Y129" s="1278"/>
      <c r="Z129" s="1278"/>
      <c r="AA129" s="1278"/>
      <c r="AB129" s="1278"/>
      <c r="AC129" s="1278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</row>
    <row r="130" spans="1:48" s="21" customFormat="1" x14ac:dyDescent="0.25">
      <c r="A130" s="99"/>
      <c r="B130" s="453"/>
      <c r="C130" s="453"/>
      <c r="D130" s="453"/>
      <c r="E130" s="453"/>
      <c r="F130" s="453"/>
      <c r="G130" s="453"/>
      <c r="H130" s="453"/>
      <c r="I130" s="453"/>
      <c r="J130" s="453"/>
      <c r="K130" s="453"/>
      <c r="L130" s="453"/>
      <c r="M130" s="454"/>
      <c r="N130" s="453"/>
      <c r="O130" s="453"/>
      <c r="P130" s="453"/>
      <c r="Q130" s="453"/>
      <c r="R130" s="453"/>
      <c r="S130" s="453"/>
      <c r="T130" s="451"/>
      <c r="V130" s="1278"/>
      <c r="W130" s="1278"/>
      <c r="X130" s="1278"/>
      <c r="Y130" s="1278"/>
      <c r="Z130" s="1278"/>
      <c r="AA130" s="1278"/>
      <c r="AB130" s="1278"/>
      <c r="AC130" s="1278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</row>
    <row r="131" spans="1:48" s="19" customFormat="1" x14ac:dyDescent="0.25">
      <c r="A131" s="1037"/>
      <c r="B131" s="453"/>
      <c r="C131" s="453"/>
      <c r="D131" s="453"/>
      <c r="E131" s="453"/>
      <c r="F131" s="453"/>
      <c r="G131" s="453"/>
      <c r="H131" s="453"/>
      <c r="I131" s="453"/>
      <c r="J131" s="453"/>
      <c r="K131" s="453"/>
      <c r="L131" s="453"/>
      <c r="M131" s="454"/>
      <c r="N131" s="453"/>
      <c r="O131" s="453"/>
      <c r="P131" s="453"/>
      <c r="Q131" s="453"/>
      <c r="R131" s="453"/>
      <c r="S131" s="453"/>
      <c r="T131" s="451"/>
      <c r="V131" s="1279"/>
      <c r="W131" s="1279"/>
      <c r="X131" s="1279"/>
      <c r="Y131" s="1279"/>
      <c r="Z131" s="1279"/>
      <c r="AA131" s="1279"/>
      <c r="AB131" s="1279"/>
      <c r="AC131" s="1279"/>
      <c r="AD131" s="823"/>
      <c r="AE131" s="823"/>
      <c r="AF131" s="823"/>
      <c r="AG131" s="823"/>
      <c r="AH131" s="823"/>
      <c r="AI131" s="823"/>
      <c r="AJ131" s="823"/>
      <c r="AK131" s="823"/>
      <c r="AL131" s="823"/>
      <c r="AM131" s="823"/>
      <c r="AN131" s="823"/>
      <c r="AO131" s="823"/>
      <c r="AP131" s="823"/>
      <c r="AQ131" s="823"/>
      <c r="AR131" s="823"/>
      <c r="AS131" s="823"/>
      <c r="AT131" s="823"/>
      <c r="AU131" s="823"/>
      <c r="AV131" s="823"/>
    </row>
    <row r="132" spans="1:48" s="19" customFormat="1" x14ac:dyDescent="0.25">
      <c r="A132" s="1037"/>
      <c r="B132" s="453"/>
      <c r="C132" s="453"/>
      <c r="D132" s="453"/>
      <c r="E132" s="453"/>
      <c r="F132" s="453"/>
      <c r="G132" s="453"/>
      <c r="H132" s="453"/>
      <c r="I132" s="453"/>
      <c r="J132" s="453"/>
      <c r="K132" s="453"/>
      <c r="L132" s="453"/>
      <c r="M132" s="454"/>
      <c r="N132" s="453"/>
      <c r="O132" s="453"/>
      <c r="P132" s="453"/>
      <c r="Q132" s="453"/>
      <c r="R132" s="453"/>
      <c r="S132" s="453"/>
      <c r="T132" s="451"/>
      <c r="V132" s="1279"/>
      <c r="W132" s="1279"/>
      <c r="X132" s="1279"/>
      <c r="Y132" s="1279"/>
      <c r="Z132" s="1279"/>
      <c r="AA132" s="1279"/>
      <c r="AB132" s="1279"/>
      <c r="AC132" s="1279"/>
      <c r="AD132" s="823"/>
      <c r="AE132" s="823"/>
      <c r="AF132" s="823"/>
      <c r="AG132" s="823"/>
      <c r="AH132" s="823"/>
      <c r="AI132" s="823"/>
      <c r="AJ132" s="823"/>
      <c r="AK132" s="823"/>
      <c r="AL132" s="823"/>
      <c r="AM132" s="823"/>
      <c r="AN132" s="823"/>
      <c r="AO132" s="823"/>
      <c r="AP132" s="823"/>
      <c r="AQ132" s="823"/>
      <c r="AR132" s="823"/>
      <c r="AS132" s="823"/>
      <c r="AT132" s="823"/>
      <c r="AU132" s="823"/>
      <c r="AV132" s="823"/>
    </row>
    <row r="133" spans="1:48" s="19" customFormat="1" x14ac:dyDescent="0.25">
      <c r="A133" s="1037"/>
      <c r="B133" s="453"/>
      <c r="C133" s="453"/>
      <c r="D133" s="453"/>
      <c r="E133" s="453"/>
      <c r="F133" s="453"/>
      <c r="G133" s="453"/>
      <c r="H133" s="453"/>
      <c r="I133" s="453"/>
      <c r="J133" s="453"/>
      <c r="K133" s="453"/>
      <c r="L133" s="453"/>
      <c r="M133" s="454"/>
      <c r="N133" s="453"/>
      <c r="O133" s="453"/>
      <c r="P133" s="453"/>
      <c r="Q133" s="453"/>
      <c r="R133" s="453"/>
      <c r="S133" s="453"/>
      <c r="T133" s="451"/>
      <c r="V133" s="1279"/>
      <c r="W133" s="1279"/>
      <c r="X133" s="1279"/>
      <c r="Y133" s="1279"/>
      <c r="Z133" s="1279"/>
      <c r="AA133" s="1279"/>
      <c r="AB133" s="1279"/>
      <c r="AC133" s="1279"/>
      <c r="AD133" s="823"/>
      <c r="AE133" s="823"/>
      <c r="AF133" s="823"/>
      <c r="AG133" s="823"/>
      <c r="AH133" s="823"/>
      <c r="AI133" s="823"/>
      <c r="AJ133" s="823"/>
      <c r="AK133" s="823"/>
      <c r="AL133" s="823"/>
      <c r="AM133" s="823"/>
      <c r="AN133" s="823"/>
      <c r="AO133" s="823"/>
      <c r="AP133" s="823"/>
      <c r="AQ133" s="823"/>
      <c r="AR133" s="823"/>
      <c r="AS133" s="823"/>
      <c r="AT133" s="823"/>
      <c r="AU133" s="823"/>
      <c r="AV133" s="823"/>
    </row>
    <row r="134" spans="1:48" s="19" customFormat="1" x14ac:dyDescent="0.25">
      <c r="A134" s="1037"/>
      <c r="B134" s="453"/>
      <c r="C134" s="453"/>
      <c r="D134" s="453"/>
      <c r="E134" s="453"/>
      <c r="F134" s="453"/>
      <c r="G134" s="453"/>
      <c r="H134" s="453"/>
      <c r="I134" s="453"/>
      <c r="J134" s="453"/>
      <c r="K134" s="453"/>
      <c r="L134" s="453"/>
      <c r="M134" s="454"/>
      <c r="N134" s="453"/>
      <c r="O134" s="453"/>
      <c r="P134" s="453"/>
      <c r="Q134" s="453"/>
      <c r="R134" s="453"/>
      <c r="S134" s="453"/>
      <c r="T134" s="451"/>
      <c r="V134" s="1279"/>
      <c r="W134" s="1279"/>
      <c r="X134" s="1279"/>
      <c r="Y134" s="1279"/>
      <c r="Z134" s="1279"/>
      <c r="AA134" s="1279"/>
      <c r="AB134" s="1279"/>
      <c r="AC134" s="1279"/>
      <c r="AD134" s="823"/>
      <c r="AE134" s="823"/>
      <c r="AF134" s="823"/>
      <c r="AG134" s="823"/>
      <c r="AH134" s="823"/>
      <c r="AI134" s="823"/>
      <c r="AJ134" s="823"/>
      <c r="AK134" s="823"/>
      <c r="AL134" s="823"/>
      <c r="AM134" s="823"/>
      <c r="AN134" s="823"/>
      <c r="AO134" s="823"/>
      <c r="AP134" s="823"/>
      <c r="AQ134" s="823"/>
      <c r="AR134" s="823"/>
      <c r="AS134" s="823"/>
      <c r="AT134" s="823"/>
      <c r="AU134" s="823"/>
      <c r="AV134" s="823"/>
    </row>
    <row r="135" spans="1:48" s="19" customFormat="1" x14ac:dyDescent="0.25">
      <c r="A135" s="1037"/>
      <c r="B135" s="453"/>
      <c r="C135" s="453"/>
      <c r="D135" s="453"/>
      <c r="E135" s="453"/>
      <c r="F135" s="453"/>
      <c r="G135" s="453"/>
      <c r="H135" s="453"/>
      <c r="I135" s="453"/>
      <c r="J135" s="453"/>
      <c r="K135" s="453"/>
      <c r="L135" s="453"/>
      <c r="M135" s="454"/>
      <c r="N135" s="453"/>
      <c r="O135" s="453"/>
      <c r="P135" s="453"/>
      <c r="Q135" s="453"/>
      <c r="R135" s="453"/>
      <c r="S135" s="453"/>
      <c r="T135" s="451"/>
      <c r="V135" s="1279"/>
      <c r="W135" s="1279"/>
      <c r="X135" s="1279"/>
      <c r="Y135" s="1279"/>
      <c r="Z135" s="1279"/>
      <c r="AA135" s="1279"/>
      <c r="AB135" s="1279"/>
      <c r="AC135" s="1279"/>
      <c r="AD135" s="823"/>
      <c r="AE135" s="823"/>
      <c r="AF135" s="823"/>
      <c r="AG135" s="823"/>
      <c r="AH135" s="823"/>
      <c r="AI135" s="823"/>
      <c r="AJ135" s="823"/>
      <c r="AK135" s="823"/>
      <c r="AL135" s="823"/>
      <c r="AM135" s="823"/>
      <c r="AN135" s="823"/>
      <c r="AO135" s="823"/>
      <c r="AP135" s="823"/>
      <c r="AQ135" s="823"/>
      <c r="AR135" s="823"/>
      <c r="AS135" s="823"/>
      <c r="AT135" s="823"/>
      <c r="AU135" s="823"/>
      <c r="AV135" s="823"/>
    </row>
    <row r="136" spans="1:48" s="19" customFormat="1" x14ac:dyDescent="0.25">
      <c r="A136" s="1037"/>
      <c r="B136" s="453"/>
      <c r="C136" s="453"/>
      <c r="D136" s="453"/>
      <c r="E136" s="453"/>
      <c r="F136" s="453"/>
      <c r="G136" s="453"/>
      <c r="H136" s="453"/>
      <c r="I136" s="453"/>
      <c r="J136" s="453"/>
      <c r="K136" s="453"/>
      <c r="L136" s="453"/>
      <c r="M136" s="454"/>
      <c r="N136" s="453"/>
      <c r="O136" s="453"/>
      <c r="P136" s="453"/>
      <c r="Q136" s="453"/>
      <c r="R136" s="453"/>
      <c r="S136" s="453"/>
      <c r="T136" s="451"/>
      <c r="V136" s="1279"/>
      <c r="W136" s="1279"/>
      <c r="X136" s="1279"/>
      <c r="Y136" s="1279"/>
      <c r="Z136" s="1279"/>
      <c r="AA136" s="1279"/>
      <c r="AB136" s="1279"/>
      <c r="AC136" s="1279"/>
      <c r="AD136" s="823"/>
      <c r="AE136" s="823"/>
      <c r="AF136" s="823"/>
      <c r="AG136" s="823"/>
      <c r="AH136" s="823"/>
      <c r="AI136" s="823"/>
      <c r="AJ136" s="823"/>
      <c r="AK136" s="823"/>
      <c r="AL136" s="823"/>
      <c r="AM136" s="823"/>
      <c r="AN136" s="823"/>
      <c r="AO136" s="823"/>
      <c r="AP136" s="823"/>
      <c r="AQ136" s="823"/>
      <c r="AR136" s="823"/>
      <c r="AS136" s="823"/>
      <c r="AT136" s="823"/>
      <c r="AU136" s="823"/>
      <c r="AV136" s="823"/>
    </row>
    <row r="137" spans="1:48" s="19" customFormat="1" x14ac:dyDescent="0.25">
      <c r="A137" s="1037"/>
      <c r="B137" s="453"/>
      <c r="C137" s="453"/>
      <c r="D137" s="453"/>
      <c r="E137" s="453"/>
      <c r="F137" s="453"/>
      <c r="G137" s="453"/>
      <c r="H137" s="453"/>
      <c r="I137" s="453"/>
      <c r="J137" s="453"/>
      <c r="K137" s="453"/>
      <c r="L137" s="453"/>
      <c r="M137" s="454"/>
      <c r="N137" s="453"/>
      <c r="O137" s="453"/>
      <c r="P137" s="453"/>
      <c r="Q137" s="453"/>
      <c r="R137" s="453"/>
      <c r="S137" s="453"/>
      <c r="T137" s="451"/>
      <c r="V137" s="1279"/>
      <c r="W137" s="1279"/>
      <c r="X137" s="1279"/>
      <c r="Y137" s="1279"/>
      <c r="Z137" s="1279"/>
      <c r="AA137" s="1279"/>
      <c r="AB137" s="1279"/>
      <c r="AC137" s="1279"/>
      <c r="AD137" s="823"/>
      <c r="AE137" s="823"/>
      <c r="AF137" s="823"/>
      <c r="AG137" s="823"/>
      <c r="AH137" s="823"/>
      <c r="AI137" s="823"/>
      <c r="AJ137" s="823"/>
      <c r="AK137" s="823"/>
      <c r="AL137" s="823"/>
      <c r="AM137" s="823"/>
      <c r="AN137" s="823"/>
      <c r="AO137" s="823"/>
      <c r="AP137" s="823"/>
      <c r="AQ137" s="823"/>
      <c r="AR137" s="823"/>
      <c r="AS137" s="823"/>
      <c r="AT137" s="823"/>
      <c r="AU137" s="823"/>
      <c r="AV137" s="823"/>
    </row>
    <row r="138" spans="1:48" s="19" customFormat="1" x14ac:dyDescent="0.25">
      <c r="A138" s="1037"/>
      <c r="B138" s="453"/>
      <c r="C138" s="453"/>
      <c r="D138" s="453"/>
      <c r="E138" s="453"/>
      <c r="F138" s="453"/>
      <c r="G138" s="453"/>
      <c r="H138" s="453"/>
      <c r="I138" s="453"/>
      <c r="J138" s="453"/>
      <c r="K138" s="453"/>
      <c r="L138" s="453"/>
      <c r="M138" s="454"/>
      <c r="N138" s="453"/>
      <c r="O138" s="453"/>
      <c r="P138" s="453"/>
      <c r="Q138" s="453"/>
      <c r="R138" s="453"/>
      <c r="S138" s="453"/>
      <c r="T138" s="451"/>
      <c r="V138" s="1279"/>
      <c r="W138" s="1279"/>
      <c r="X138" s="1279"/>
      <c r="Y138" s="1279"/>
      <c r="Z138" s="1279"/>
      <c r="AA138" s="1279"/>
      <c r="AB138" s="1279"/>
      <c r="AC138" s="1279"/>
      <c r="AD138" s="823"/>
      <c r="AE138" s="823"/>
      <c r="AF138" s="823"/>
      <c r="AG138" s="823"/>
      <c r="AH138" s="823"/>
      <c r="AI138" s="823"/>
      <c r="AJ138" s="823"/>
      <c r="AK138" s="823"/>
      <c r="AL138" s="823"/>
      <c r="AM138" s="823"/>
      <c r="AN138" s="823"/>
      <c r="AO138" s="823"/>
      <c r="AP138" s="823"/>
      <c r="AQ138" s="823"/>
      <c r="AR138" s="823"/>
      <c r="AS138" s="823"/>
      <c r="AT138" s="823"/>
      <c r="AU138" s="823"/>
      <c r="AV138" s="823"/>
    </row>
    <row r="139" spans="1:48" s="19" customFormat="1" x14ac:dyDescent="0.25">
      <c r="A139" s="1037"/>
      <c r="B139" s="453"/>
      <c r="C139" s="453"/>
      <c r="D139" s="453"/>
      <c r="E139" s="453"/>
      <c r="F139" s="453"/>
      <c r="G139" s="453"/>
      <c r="H139" s="453"/>
      <c r="I139" s="453"/>
      <c r="J139" s="453"/>
      <c r="K139" s="453"/>
      <c r="L139" s="453"/>
      <c r="M139" s="454"/>
      <c r="N139" s="453"/>
      <c r="O139" s="453"/>
      <c r="P139" s="453"/>
      <c r="Q139" s="453"/>
      <c r="R139" s="453"/>
      <c r="S139" s="453"/>
      <c r="T139" s="451"/>
      <c r="V139" s="1279"/>
      <c r="W139" s="1279"/>
      <c r="X139" s="1279"/>
      <c r="Y139" s="1279"/>
      <c r="Z139" s="1279"/>
      <c r="AA139" s="1279"/>
      <c r="AB139" s="1279"/>
      <c r="AC139" s="1279"/>
      <c r="AD139" s="823"/>
      <c r="AE139" s="823"/>
      <c r="AF139" s="823"/>
      <c r="AG139" s="823"/>
      <c r="AH139" s="823"/>
      <c r="AI139" s="823"/>
      <c r="AJ139" s="823"/>
      <c r="AK139" s="823"/>
      <c r="AL139" s="823"/>
      <c r="AM139" s="823"/>
      <c r="AN139" s="823"/>
      <c r="AO139" s="823"/>
      <c r="AP139" s="823"/>
      <c r="AQ139" s="823"/>
      <c r="AR139" s="823"/>
      <c r="AS139" s="823"/>
      <c r="AT139" s="823"/>
      <c r="AU139" s="823"/>
      <c r="AV139" s="823"/>
    </row>
    <row r="140" spans="1:48" s="19" customFormat="1" x14ac:dyDescent="0.25">
      <c r="A140" s="1037"/>
      <c r="B140" s="453"/>
      <c r="C140" s="453"/>
      <c r="D140" s="453"/>
      <c r="E140" s="453"/>
      <c r="F140" s="453"/>
      <c r="G140" s="453"/>
      <c r="H140" s="453"/>
      <c r="I140" s="453"/>
      <c r="J140" s="453"/>
      <c r="K140" s="453"/>
      <c r="L140" s="453"/>
      <c r="M140" s="454"/>
      <c r="N140" s="453"/>
      <c r="O140" s="453"/>
      <c r="P140" s="453"/>
      <c r="Q140" s="453"/>
      <c r="R140" s="453"/>
      <c r="S140" s="453"/>
      <c r="T140" s="451"/>
      <c r="V140" s="1279"/>
      <c r="W140" s="1279"/>
      <c r="X140" s="1279"/>
      <c r="Y140" s="1279"/>
      <c r="Z140" s="1279"/>
      <c r="AA140" s="1279"/>
      <c r="AB140" s="1279"/>
      <c r="AC140" s="1279"/>
      <c r="AD140" s="823"/>
      <c r="AE140" s="823"/>
      <c r="AF140" s="823"/>
      <c r="AG140" s="823"/>
      <c r="AH140" s="823"/>
      <c r="AI140" s="823"/>
      <c r="AJ140" s="823"/>
      <c r="AK140" s="823"/>
      <c r="AL140" s="823"/>
      <c r="AM140" s="823"/>
      <c r="AN140" s="823"/>
      <c r="AO140" s="823"/>
      <c r="AP140" s="823"/>
      <c r="AQ140" s="823"/>
      <c r="AR140" s="823"/>
      <c r="AS140" s="823"/>
      <c r="AT140" s="823"/>
      <c r="AU140" s="823"/>
      <c r="AV140" s="823"/>
    </row>
    <row r="141" spans="1:48" s="19" customFormat="1" x14ac:dyDescent="0.25">
      <c r="A141" s="1037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4"/>
      <c r="N141" s="21"/>
      <c r="O141" s="21"/>
      <c r="P141" s="21"/>
      <c r="Q141" s="21"/>
      <c r="R141" s="21"/>
      <c r="S141" s="21"/>
      <c r="T141" s="62"/>
      <c r="V141" s="1279"/>
      <c r="W141" s="1279"/>
      <c r="X141" s="1279"/>
      <c r="Y141" s="1279"/>
      <c r="Z141" s="1279"/>
      <c r="AA141" s="1279"/>
      <c r="AB141" s="1279"/>
      <c r="AC141" s="1279"/>
      <c r="AD141" s="823"/>
      <c r="AE141" s="823"/>
      <c r="AF141" s="823"/>
      <c r="AG141" s="823"/>
      <c r="AH141" s="823"/>
      <c r="AI141" s="823"/>
      <c r="AJ141" s="823"/>
      <c r="AK141" s="823"/>
      <c r="AL141" s="823"/>
      <c r="AM141" s="823"/>
      <c r="AN141" s="823"/>
      <c r="AO141" s="823"/>
      <c r="AP141" s="823"/>
      <c r="AQ141" s="823"/>
      <c r="AR141" s="823"/>
      <c r="AS141" s="823"/>
      <c r="AT141" s="823"/>
      <c r="AU141" s="823"/>
      <c r="AV141" s="823"/>
    </row>
    <row r="142" spans="1:48" s="19" customFormat="1" x14ac:dyDescent="0.25">
      <c r="A142" s="1037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4"/>
      <c r="N142" s="21"/>
      <c r="O142" s="21"/>
      <c r="P142" s="21"/>
      <c r="Q142" s="21"/>
      <c r="R142" s="21"/>
      <c r="S142" s="21"/>
      <c r="T142" s="62"/>
      <c r="V142" s="1279"/>
      <c r="W142" s="1279"/>
      <c r="X142" s="1279"/>
      <c r="Y142" s="1279"/>
      <c r="Z142" s="1279"/>
      <c r="AA142" s="1279"/>
      <c r="AB142" s="1279"/>
      <c r="AC142" s="1279"/>
      <c r="AD142" s="823"/>
      <c r="AE142" s="823"/>
      <c r="AF142" s="823"/>
      <c r="AG142" s="823"/>
      <c r="AH142" s="823"/>
      <c r="AI142" s="823"/>
      <c r="AJ142" s="823"/>
      <c r="AK142" s="823"/>
      <c r="AL142" s="823"/>
      <c r="AM142" s="823"/>
      <c r="AN142" s="823"/>
      <c r="AO142" s="823"/>
      <c r="AP142" s="823"/>
      <c r="AQ142" s="823"/>
      <c r="AR142" s="823"/>
      <c r="AS142" s="823"/>
      <c r="AT142" s="823"/>
      <c r="AU142" s="823"/>
      <c r="AV142" s="823"/>
    </row>
    <row r="143" spans="1:48" s="19" customFormat="1" x14ac:dyDescent="0.25">
      <c r="A143" s="1037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4"/>
      <c r="N143" s="21"/>
      <c r="O143" s="21"/>
      <c r="P143" s="21"/>
      <c r="Q143" s="21"/>
      <c r="R143" s="21"/>
      <c r="S143" s="21"/>
      <c r="T143" s="62"/>
      <c r="V143" s="1279"/>
      <c r="W143" s="1279"/>
      <c r="X143" s="1279"/>
      <c r="Y143" s="1279"/>
      <c r="Z143" s="1279"/>
      <c r="AA143" s="1279"/>
      <c r="AB143" s="1279"/>
      <c r="AC143" s="1279"/>
      <c r="AD143" s="823"/>
      <c r="AE143" s="823"/>
      <c r="AF143" s="823"/>
      <c r="AG143" s="823"/>
      <c r="AH143" s="823"/>
      <c r="AI143" s="823"/>
      <c r="AJ143" s="823"/>
      <c r="AK143" s="823"/>
      <c r="AL143" s="823"/>
      <c r="AM143" s="823"/>
      <c r="AN143" s="823"/>
      <c r="AO143" s="823"/>
      <c r="AP143" s="823"/>
      <c r="AQ143" s="823"/>
      <c r="AR143" s="823"/>
      <c r="AS143" s="823"/>
      <c r="AT143" s="823"/>
      <c r="AU143" s="823"/>
      <c r="AV143" s="823"/>
    </row>
    <row r="144" spans="1:48" s="19" customFormat="1" x14ac:dyDescent="0.25">
      <c r="A144" s="1037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4"/>
      <c r="N144" s="21"/>
      <c r="O144" s="21"/>
      <c r="P144" s="21"/>
      <c r="Q144" s="21"/>
      <c r="R144" s="21"/>
      <c r="S144" s="21"/>
      <c r="T144" s="62"/>
      <c r="V144" s="1279"/>
      <c r="W144" s="1279"/>
      <c r="X144" s="1279"/>
      <c r="Y144" s="1279"/>
      <c r="Z144" s="1279"/>
      <c r="AA144" s="1279"/>
      <c r="AB144" s="1279"/>
      <c r="AC144" s="1279"/>
      <c r="AD144" s="823"/>
      <c r="AE144" s="823"/>
      <c r="AF144" s="823"/>
      <c r="AG144" s="823"/>
      <c r="AH144" s="823"/>
      <c r="AI144" s="823"/>
      <c r="AJ144" s="823"/>
      <c r="AK144" s="823"/>
      <c r="AL144" s="823"/>
      <c r="AM144" s="823"/>
      <c r="AN144" s="823"/>
      <c r="AO144" s="823"/>
      <c r="AP144" s="823"/>
      <c r="AQ144" s="823"/>
      <c r="AR144" s="823"/>
      <c r="AS144" s="823"/>
      <c r="AT144" s="823"/>
      <c r="AU144" s="823"/>
      <c r="AV144" s="823"/>
    </row>
    <row r="145" spans="1:48" s="19" customFormat="1" x14ac:dyDescent="0.25">
      <c r="A145" s="1037"/>
      <c r="M145" s="20"/>
      <c r="T145" s="823"/>
      <c r="V145" s="1279"/>
      <c r="W145" s="1279"/>
      <c r="X145" s="1279"/>
      <c r="Y145" s="1279"/>
      <c r="Z145" s="1279"/>
      <c r="AA145" s="1279"/>
      <c r="AB145" s="1279"/>
      <c r="AC145" s="1279"/>
      <c r="AD145" s="823"/>
      <c r="AE145" s="823"/>
      <c r="AF145" s="823"/>
      <c r="AG145" s="823"/>
      <c r="AH145" s="823"/>
      <c r="AI145" s="823"/>
      <c r="AJ145" s="823"/>
      <c r="AK145" s="823"/>
      <c r="AL145" s="823"/>
      <c r="AM145" s="823"/>
      <c r="AN145" s="823"/>
      <c r="AO145" s="823"/>
      <c r="AP145" s="823"/>
      <c r="AQ145" s="823"/>
      <c r="AR145" s="823"/>
      <c r="AS145" s="823"/>
      <c r="AT145" s="823"/>
      <c r="AU145" s="823"/>
      <c r="AV145" s="823"/>
    </row>
    <row r="146" spans="1:48" s="19" customFormat="1" x14ac:dyDescent="0.25">
      <c r="A146" s="1037"/>
      <c r="M146" s="20"/>
      <c r="T146" s="823"/>
      <c r="V146" s="1279"/>
      <c r="W146" s="1279"/>
      <c r="X146" s="1279"/>
      <c r="Y146" s="1279"/>
      <c r="Z146" s="1279"/>
      <c r="AA146" s="1279"/>
      <c r="AB146" s="1279"/>
      <c r="AC146" s="1279"/>
      <c r="AD146" s="823"/>
      <c r="AE146" s="823"/>
      <c r="AF146" s="823"/>
      <c r="AG146" s="823"/>
      <c r="AH146" s="823"/>
      <c r="AI146" s="823"/>
      <c r="AJ146" s="823"/>
      <c r="AK146" s="823"/>
      <c r="AL146" s="823"/>
      <c r="AM146" s="823"/>
      <c r="AN146" s="823"/>
      <c r="AO146" s="823"/>
      <c r="AP146" s="823"/>
      <c r="AQ146" s="823"/>
      <c r="AR146" s="823"/>
      <c r="AS146" s="823"/>
      <c r="AT146" s="823"/>
      <c r="AU146" s="823"/>
      <c r="AV146" s="823"/>
    </row>
    <row r="147" spans="1:48" s="19" customFormat="1" x14ac:dyDescent="0.25">
      <c r="A147" s="1037"/>
      <c r="M147" s="20"/>
      <c r="T147" s="823"/>
      <c r="V147" s="1279"/>
      <c r="W147" s="1279"/>
      <c r="X147" s="1279"/>
      <c r="Y147" s="1279"/>
      <c r="Z147" s="1279"/>
      <c r="AA147" s="1279"/>
      <c r="AB147" s="1279"/>
      <c r="AC147" s="1279"/>
      <c r="AD147" s="823"/>
      <c r="AE147" s="823"/>
      <c r="AF147" s="823"/>
      <c r="AG147" s="823"/>
      <c r="AH147" s="823"/>
      <c r="AI147" s="823"/>
      <c r="AJ147" s="823"/>
      <c r="AK147" s="823"/>
      <c r="AL147" s="823"/>
      <c r="AM147" s="823"/>
      <c r="AN147" s="823"/>
      <c r="AO147" s="823"/>
      <c r="AP147" s="823"/>
      <c r="AQ147" s="823"/>
      <c r="AR147" s="823"/>
      <c r="AS147" s="823"/>
      <c r="AT147" s="823"/>
      <c r="AU147" s="823"/>
      <c r="AV147" s="823"/>
    </row>
    <row r="148" spans="1:48" s="19" customFormat="1" x14ac:dyDescent="0.25">
      <c r="A148" s="1037"/>
      <c r="M148" s="20"/>
      <c r="T148" s="823"/>
      <c r="V148" s="1279"/>
      <c r="W148" s="1279"/>
      <c r="X148" s="1279"/>
      <c r="Y148" s="1279"/>
      <c r="Z148" s="1279"/>
      <c r="AA148" s="1279"/>
      <c r="AB148" s="1279"/>
      <c r="AC148" s="1279"/>
      <c r="AD148" s="823"/>
      <c r="AE148" s="823"/>
      <c r="AF148" s="823"/>
      <c r="AG148" s="823"/>
      <c r="AH148" s="823"/>
      <c r="AI148" s="823"/>
      <c r="AJ148" s="823"/>
      <c r="AK148" s="823"/>
      <c r="AL148" s="823"/>
      <c r="AM148" s="823"/>
      <c r="AN148" s="823"/>
      <c r="AO148" s="823"/>
      <c r="AP148" s="823"/>
      <c r="AQ148" s="823"/>
      <c r="AR148" s="823"/>
      <c r="AS148" s="823"/>
      <c r="AT148" s="823"/>
      <c r="AU148" s="823"/>
      <c r="AV148" s="823"/>
    </row>
    <row r="149" spans="1:48" s="19" customFormat="1" x14ac:dyDescent="0.25">
      <c r="A149" s="1037"/>
      <c r="M149" s="20"/>
      <c r="T149" s="823"/>
      <c r="V149" s="1279"/>
      <c r="W149" s="1279"/>
      <c r="X149" s="1279"/>
      <c r="Y149" s="1279"/>
      <c r="Z149" s="1279"/>
      <c r="AA149" s="1279"/>
      <c r="AB149" s="1279"/>
      <c r="AC149" s="1279"/>
      <c r="AD149" s="823"/>
      <c r="AE149" s="823"/>
      <c r="AF149" s="823"/>
      <c r="AG149" s="823"/>
      <c r="AH149" s="823"/>
      <c r="AI149" s="823"/>
      <c r="AJ149" s="823"/>
      <c r="AK149" s="823"/>
      <c r="AL149" s="823"/>
      <c r="AM149" s="823"/>
      <c r="AN149" s="823"/>
      <c r="AO149" s="823"/>
      <c r="AP149" s="823"/>
      <c r="AQ149" s="823"/>
      <c r="AR149" s="823"/>
      <c r="AS149" s="823"/>
      <c r="AT149" s="823"/>
      <c r="AU149" s="823"/>
      <c r="AV149" s="823"/>
    </row>
    <row r="150" spans="1:48" s="19" customFormat="1" x14ac:dyDescent="0.25">
      <c r="A150" s="1037"/>
      <c r="M150" s="20"/>
      <c r="T150" s="823"/>
      <c r="V150" s="1279"/>
      <c r="W150" s="1279"/>
      <c r="X150" s="1279"/>
      <c r="Y150" s="1279"/>
      <c r="Z150" s="1279"/>
      <c r="AA150" s="1279"/>
      <c r="AB150" s="1279"/>
      <c r="AC150" s="1279"/>
      <c r="AD150" s="823"/>
      <c r="AE150" s="823"/>
      <c r="AF150" s="823"/>
      <c r="AG150" s="823"/>
      <c r="AH150" s="823"/>
      <c r="AI150" s="823"/>
      <c r="AJ150" s="823"/>
      <c r="AK150" s="823"/>
      <c r="AL150" s="823"/>
      <c r="AM150" s="823"/>
      <c r="AN150" s="823"/>
      <c r="AO150" s="823"/>
      <c r="AP150" s="823"/>
      <c r="AQ150" s="823"/>
      <c r="AR150" s="823"/>
      <c r="AS150" s="823"/>
      <c r="AT150" s="823"/>
      <c r="AU150" s="823"/>
      <c r="AV150" s="823"/>
    </row>
    <row r="151" spans="1:48" s="19" customFormat="1" x14ac:dyDescent="0.25">
      <c r="A151" s="1037"/>
      <c r="M151" s="20"/>
      <c r="T151" s="823"/>
      <c r="V151" s="1279"/>
      <c r="W151" s="1279"/>
      <c r="X151" s="1279"/>
      <c r="Y151" s="1279"/>
      <c r="Z151" s="1279"/>
      <c r="AA151" s="1279"/>
      <c r="AB151" s="1279"/>
      <c r="AC151" s="1279"/>
      <c r="AD151" s="823"/>
      <c r="AE151" s="823"/>
      <c r="AF151" s="823"/>
      <c r="AG151" s="823"/>
      <c r="AH151" s="823"/>
      <c r="AI151" s="823"/>
      <c r="AJ151" s="823"/>
      <c r="AK151" s="823"/>
      <c r="AL151" s="823"/>
      <c r="AM151" s="823"/>
      <c r="AN151" s="823"/>
      <c r="AO151" s="823"/>
      <c r="AP151" s="823"/>
      <c r="AQ151" s="823"/>
      <c r="AR151" s="823"/>
      <c r="AS151" s="823"/>
      <c r="AT151" s="823"/>
      <c r="AU151" s="823"/>
      <c r="AV151" s="823"/>
    </row>
    <row r="152" spans="1:48" s="19" customFormat="1" x14ac:dyDescent="0.25">
      <c r="A152" s="1037"/>
      <c r="M152" s="20"/>
      <c r="T152" s="823"/>
      <c r="V152" s="1279"/>
      <c r="W152" s="1279"/>
      <c r="X152" s="1279"/>
      <c r="Y152" s="1279"/>
      <c r="Z152" s="1279"/>
      <c r="AA152" s="1279"/>
      <c r="AB152" s="1279"/>
      <c r="AC152" s="1279"/>
      <c r="AD152" s="823"/>
      <c r="AE152" s="823"/>
      <c r="AF152" s="823"/>
      <c r="AG152" s="823"/>
      <c r="AH152" s="823"/>
      <c r="AI152" s="823"/>
      <c r="AJ152" s="823"/>
      <c r="AK152" s="823"/>
      <c r="AL152" s="823"/>
      <c r="AM152" s="823"/>
      <c r="AN152" s="823"/>
      <c r="AO152" s="823"/>
      <c r="AP152" s="823"/>
      <c r="AQ152" s="823"/>
      <c r="AR152" s="823"/>
      <c r="AS152" s="823"/>
      <c r="AT152" s="823"/>
      <c r="AU152" s="823"/>
      <c r="AV152" s="823"/>
    </row>
    <row r="153" spans="1:48" s="19" customFormat="1" x14ac:dyDescent="0.25">
      <c r="A153" s="1037"/>
      <c r="M153" s="20"/>
      <c r="T153" s="823"/>
      <c r="V153" s="1279"/>
      <c r="W153" s="1279"/>
      <c r="X153" s="1279"/>
      <c r="Y153" s="1279"/>
      <c r="Z153" s="1279"/>
      <c r="AA153" s="1279"/>
      <c r="AB153" s="1279"/>
      <c r="AC153" s="1279"/>
      <c r="AD153" s="823"/>
      <c r="AE153" s="823"/>
      <c r="AF153" s="823"/>
      <c r="AG153" s="823"/>
      <c r="AH153" s="823"/>
      <c r="AI153" s="823"/>
      <c r="AJ153" s="823"/>
      <c r="AK153" s="823"/>
      <c r="AL153" s="823"/>
      <c r="AM153" s="823"/>
      <c r="AN153" s="823"/>
      <c r="AO153" s="823"/>
      <c r="AP153" s="823"/>
      <c r="AQ153" s="823"/>
      <c r="AR153" s="823"/>
      <c r="AS153" s="823"/>
      <c r="AT153" s="823"/>
      <c r="AU153" s="823"/>
      <c r="AV153" s="823"/>
    </row>
    <row r="154" spans="1:48" s="19" customFormat="1" x14ac:dyDescent="0.25">
      <c r="A154" s="1037"/>
      <c r="M154" s="20"/>
      <c r="T154" s="823"/>
      <c r="V154" s="1279"/>
      <c r="W154" s="1279"/>
      <c r="X154" s="1279"/>
      <c r="Y154" s="1279"/>
      <c r="Z154" s="1279"/>
      <c r="AA154" s="1279"/>
      <c r="AB154" s="1279"/>
      <c r="AC154" s="1279"/>
      <c r="AD154" s="823"/>
      <c r="AE154" s="823"/>
      <c r="AF154" s="823"/>
      <c r="AG154" s="823"/>
      <c r="AH154" s="823"/>
      <c r="AI154" s="823"/>
      <c r="AJ154" s="823"/>
      <c r="AK154" s="823"/>
      <c r="AL154" s="823"/>
      <c r="AM154" s="823"/>
      <c r="AN154" s="823"/>
      <c r="AO154" s="823"/>
      <c r="AP154" s="823"/>
      <c r="AQ154" s="823"/>
      <c r="AR154" s="823"/>
      <c r="AS154" s="823"/>
      <c r="AT154" s="823"/>
      <c r="AU154" s="823"/>
      <c r="AV154" s="823"/>
    </row>
    <row r="155" spans="1:48" s="19" customFormat="1" x14ac:dyDescent="0.25">
      <c r="A155" s="1037"/>
      <c r="M155" s="20"/>
      <c r="T155" s="823"/>
      <c r="V155" s="1279"/>
      <c r="W155" s="1279"/>
      <c r="X155" s="1279"/>
      <c r="Y155" s="1279"/>
      <c r="Z155" s="1279"/>
      <c r="AA155" s="1279"/>
      <c r="AB155" s="1279"/>
      <c r="AC155" s="1279"/>
      <c r="AD155" s="823"/>
      <c r="AE155" s="823"/>
      <c r="AF155" s="823"/>
      <c r="AG155" s="823"/>
      <c r="AH155" s="823"/>
      <c r="AI155" s="823"/>
      <c r="AJ155" s="823"/>
      <c r="AK155" s="823"/>
      <c r="AL155" s="823"/>
      <c r="AM155" s="823"/>
      <c r="AN155" s="823"/>
      <c r="AO155" s="823"/>
      <c r="AP155" s="823"/>
      <c r="AQ155" s="823"/>
      <c r="AR155" s="823"/>
      <c r="AS155" s="823"/>
      <c r="AT155" s="823"/>
      <c r="AU155" s="823"/>
      <c r="AV155" s="823"/>
    </row>
    <row r="156" spans="1:48" s="19" customFormat="1" x14ac:dyDescent="0.25">
      <c r="A156" s="1037"/>
      <c r="M156" s="20"/>
      <c r="T156" s="823"/>
      <c r="V156" s="1279"/>
      <c r="W156" s="1279"/>
      <c r="X156" s="1279"/>
      <c r="Y156" s="1279"/>
      <c r="Z156" s="1279"/>
      <c r="AA156" s="1279"/>
      <c r="AB156" s="1279"/>
      <c r="AC156" s="1279"/>
      <c r="AD156" s="823"/>
      <c r="AE156" s="823"/>
      <c r="AF156" s="823"/>
      <c r="AG156" s="823"/>
      <c r="AH156" s="823"/>
      <c r="AI156" s="823"/>
      <c r="AJ156" s="823"/>
      <c r="AK156" s="823"/>
      <c r="AL156" s="823"/>
      <c r="AM156" s="823"/>
      <c r="AN156" s="823"/>
      <c r="AO156" s="823"/>
      <c r="AP156" s="823"/>
      <c r="AQ156" s="823"/>
      <c r="AR156" s="823"/>
      <c r="AS156" s="823"/>
      <c r="AT156" s="823"/>
      <c r="AU156" s="823"/>
      <c r="AV156" s="823"/>
    </row>
    <row r="157" spans="1:48" s="19" customFormat="1" x14ac:dyDescent="0.25">
      <c r="A157" s="1037"/>
      <c r="M157" s="20"/>
      <c r="T157" s="823"/>
      <c r="V157" s="1279"/>
      <c r="W157" s="1279"/>
      <c r="X157" s="1279"/>
      <c r="Y157" s="1279"/>
      <c r="Z157" s="1279"/>
      <c r="AA157" s="1279"/>
      <c r="AB157" s="1279"/>
      <c r="AC157" s="1279"/>
      <c r="AD157" s="823"/>
      <c r="AE157" s="823"/>
      <c r="AF157" s="823"/>
      <c r="AG157" s="823"/>
      <c r="AH157" s="823"/>
      <c r="AI157" s="823"/>
      <c r="AJ157" s="823"/>
      <c r="AK157" s="823"/>
      <c r="AL157" s="823"/>
      <c r="AM157" s="823"/>
      <c r="AN157" s="823"/>
      <c r="AO157" s="823"/>
      <c r="AP157" s="823"/>
      <c r="AQ157" s="823"/>
      <c r="AR157" s="823"/>
      <c r="AS157" s="823"/>
      <c r="AT157" s="823"/>
      <c r="AU157" s="823"/>
      <c r="AV157" s="823"/>
    </row>
    <row r="158" spans="1:48" s="19" customFormat="1" x14ac:dyDescent="0.25">
      <c r="A158" s="1037"/>
      <c r="M158" s="20"/>
      <c r="T158" s="823"/>
      <c r="V158" s="1279"/>
      <c r="W158" s="1279"/>
      <c r="X158" s="1279"/>
      <c r="Y158" s="1279"/>
      <c r="Z158" s="1279"/>
      <c r="AA158" s="1279"/>
      <c r="AB158" s="1279"/>
      <c r="AC158" s="1279"/>
      <c r="AD158" s="823"/>
      <c r="AE158" s="823"/>
      <c r="AF158" s="823"/>
      <c r="AG158" s="823"/>
      <c r="AH158" s="823"/>
      <c r="AI158" s="823"/>
      <c r="AJ158" s="823"/>
      <c r="AK158" s="823"/>
      <c r="AL158" s="823"/>
      <c r="AM158" s="823"/>
      <c r="AN158" s="823"/>
      <c r="AO158" s="823"/>
      <c r="AP158" s="823"/>
      <c r="AQ158" s="823"/>
      <c r="AR158" s="823"/>
      <c r="AS158" s="823"/>
      <c r="AT158" s="823"/>
      <c r="AU158" s="823"/>
      <c r="AV158" s="823"/>
    </row>
    <row r="159" spans="1:48" s="19" customFormat="1" x14ac:dyDescent="0.25">
      <c r="A159" s="1037"/>
      <c r="M159" s="20"/>
      <c r="T159" s="823"/>
      <c r="V159" s="1279"/>
      <c r="W159" s="1279"/>
      <c r="X159" s="1279"/>
      <c r="Y159" s="1279"/>
      <c r="Z159" s="1279"/>
      <c r="AA159" s="1279"/>
      <c r="AB159" s="1279"/>
      <c r="AC159" s="1279"/>
      <c r="AD159" s="823"/>
      <c r="AE159" s="823"/>
      <c r="AF159" s="823"/>
      <c r="AG159" s="823"/>
      <c r="AH159" s="823"/>
      <c r="AI159" s="823"/>
      <c r="AJ159" s="823"/>
      <c r="AK159" s="823"/>
      <c r="AL159" s="823"/>
      <c r="AM159" s="823"/>
      <c r="AN159" s="823"/>
      <c r="AO159" s="823"/>
      <c r="AP159" s="823"/>
      <c r="AQ159" s="823"/>
      <c r="AR159" s="823"/>
      <c r="AS159" s="823"/>
      <c r="AT159" s="823"/>
      <c r="AU159" s="823"/>
      <c r="AV159" s="823"/>
    </row>
    <row r="160" spans="1:48" s="19" customFormat="1" x14ac:dyDescent="0.25">
      <c r="A160" s="1037"/>
      <c r="M160" s="20"/>
      <c r="T160" s="823"/>
      <c r="V160" s="1279"/>
      <c r="W160" s="1279"/>
      <c r="X160" s="1279"/>
      <c r="Y160" s="1279"/>
      <c r="Z160" s="1279"/>
      <c r="AA160" s="1279"/>
      <c r="AB160" s="1279"/>
      <c r="AC160" s="1279"/>
      <c r="AD160" s="823"/>
      <c r="AE160" s="823"/>
      <c r="AF160" s="823"/>
      <c r="AG160" s="823"/>
      <c r="AH160" s="823"/>
      <c r="AI160" s="823"/>
      <c r="AJ160" s="823"/>
      <c r="AK160" s="823"/>
      <c r="AL160" s="823"/>
      <c r="AM160" s="823"/>
      <c r="AN160" s="823"/>
      <c r="AO160" s="823"/>
      <c r="AP160" s="823"/>
      <c r="AQ160" s="823"/>
      <c r="AR160" s="823"/>
      <c r="AS160" s="823"/>
      <c r="AT160" s="823"/>
      <c r="AU160" s="823"/>
      <c r="AV160" s="823"/>
    </row>
    <row r="161" spans="1:48" s="19" customFormat="1" x14ac:dyDescent="0.25">
      <c r="A161" s="1037"/>
      <c r="M161" s="20"/>
      <c r="T161" s="823"/>
      <c r="V161" s="1279"/>
      <c r="W161" s="1279"/>
      <c r="X161" s="1279"/>
      <c r="Y161" s="1279"/>
      <c r="Z161" s="1279"/>
      <c r="AA161" s="1279"/>
      <c r="AB161" s="1279"/>
      <c r="AC161" s="1279"/>
      <c r="AD161" s="823"/>
      <c r="AE161" s="823"/>
      <c r="AF161" s="823"/>
      <c r="AG161" s="823"/>
      <c r="AH161" s="823"/>
      <c r="AI161" s="823"/>
      <c r="AJ161" s="823"/>
      <c r="AK161" s="823"/>
      <c r="AL161" s="823"/>
      <c r="AM161" s="823"/>
      <c r="AN161" s="823"/>
      <c r="AO161" s="823"/>
      <c r="AP161" s="823"/>
      <c r="AQ161" s="823"/>
      <c r="AR161" s="823"/>
      <c r="AS161" s="823"/>
      <c r="AT161" s="823"/>
      <c r="AU161" s="823"/>
      <c r="AV161" s="823"/>
    </row>
    <row r="162" spans="1:48" s="19" customFormat="1" x14ac:dyDescent="0.25">
      <c r="A162" s="1037"/>
      <c r="M162" s="20"/>
      <c r="T162" s="823"/>
      <c r="V162" s="1279"/>
      <c r="W162" s="1279"/>
      <c r="X162" s="1279"/>
      <c r="Y162" s="1279"/>
      <c r="Z162" s="1279"/>
      <c r="AA162" s="1279"/>
      <c r="AB162" s="1279"/>
      <c r="AC162" s="1279"/>
      <c r="AD162" s="823"/>
      <c r="AE162" s="823"/>
      <c r="AF162" s="823"/>
      <c r="AG162" s="823"/>
      <c r="AH162" s="823"/>
      <c r="AI162" s="823"/>
      <c r="AJ162" s="823"/>
      <c r="AK162" s="823"/>
      <c r="AL162" s="823"/>
      <c r="AM162" s="823"/>
      <c r="AN162" s="823"/>
      <c r="AO162" s="823"/>
      <c r="AP162" s="823"/>
      <c r="AQ162" s="823"/>
      <c r="AR162" s="823"/>
      <c r="AS162" s="823"/>
      <c r="AT162" s="823"/>
      <c r="AU162" s="823"/>
      <c r="AV162" s="823"/>
    </row>
    <row r="163" spans="1:48" s="19" customFormat="1" x14ac:dyDescent="0.25">
      <c r="A163" s="1037"/>
      <c r="M163" s="20"/>
      <c r="T163" s="823"/>
      <c r="V163" s="1279"/>
      <c r="W163" s="1279"/>
      <c r="X163" s="1279"/>
      <c r="Y163" s="1279"/>
      <c r="Z163" s="1279"/>
      <c r="AA163" s="1279"/>
      <c r="AB163" s="1279"/>
      <c r="AC163" s="1279"/>
      <c r="AD163" s="823"/>
      <c r="AE163" s="823"/>
      <c r="AF163" s="823"/>
      <c r="AG163" s="823"/>
      <c r="AH163" s="823"/>
      <c r="AI163" s="823"/>
      <c r="AJ163" s="823"/>
      <c r="AK163" s="823"/>
      <c r="AL163" s="823"/>
      <c r="AM163" s="823"/>
      <c r="AN163" s="823"/>
      <c r="AO163" s="823"/>
      <c r="AP163" s="823"/>
      <c r="AQ163" s="823"/>
      <c r="AR163" s="823"/>
      <c r="AS163" s="823"/>
      <c r="AT163" s="823"/>
      <c r="AU163" s="823"/>
      <c r="AV163" s="823"/>
    </row>
    <row r="164" spans="1:48" s="19" customFormat="1" x14ac:dyDescent="0.25">
      <c r="A164" s="1037"/>
      <c r="M164" s="20"/>
      <c r="T164" s="823"/>
      <c r="V164" s="1279"/>
      <c r="W164" s="1279"/>
      <c r="X164" s="1279"/>
      <c r="Y164" s="1279"/>
      <c r="Z164" s="1279"/>
      <c r="AA164" s="1279"/>
      <c r="AB164" s="1279"/>
      <c r="AC164" s="1279"/>
      <c r="AD164" s="823"/>
      <c r="AE164" s="823"/>
      <c r="AF164" s="823"/>
      <c r="AG164" s="823"/>
      <c r="AH164" s="823"/>
      <c r="AI164" s="823"/>
      <c r="AJ164" s="823"/>
      <c r="AK164" s="823"/>
      <c r="AL164" s="823"/>
      <c r="AM164" s="823"/>
      <c r="AN164" s="823"/>
      <c r="AO164" s="823"/>
      <c r="AP164" s="823"/>
      <c r="AQ164" s="823"/>
      <c r="AR164" s="823"/>
      <c r="AS164" s="823"/>
      <c r="AT164" s="823"/>
      <c r="AU164" s="823"/>
      <c r="AV164" s="823"/>
    </row>
    <row r="165" spans="1:48" s="19" customFormat="1" x14ac:dyDescent="0.25">
      <c r="A165" s="1037"/>
      <c r="M165" s="20"/>
      <c r="T165" s="823"/>
      <c r="V165" s="1279"/>
      <c r="W165" s="1279"/>
      <c r="X165" s="1279"/>
      <c r="Y165" s="1279"/>
      <c r="Z165" s="1279"/>
      <c r="AA165" s="1279"/>
      <c r="AB165" s="1279"/>
      <c r="AC165" s="1279"/>
      <c r="AD165" s="823"/>
      <c r="AE165" s="823"/>
      <c r="AF165" s="823"/>
      <c r="AG165" s="823"/>
      <c r="AH165" s="823"/>
      <c r="AI165" s="823"/>
      <c r="AJ165" s="823"/>
      <c r="AK165" s="823"/>
      <c r="AL165" s="823"/>
      <c r="AM165" s="823"/>
      <c r="AN165" s="823"/>
      <c r="AO165" s="823"/>
      <c r="AP165" s="823"/>
      <c r="AQ165" s="823"/>
      <c r="AR165" s="823"/>
      <c r="AS165" s="823"/>
      <c r="AT165" s="823"/>
      <c r="AU165" s="823"/>
      <c r="AV165" s="823"/>
    </row>
    <row r="166" spans="1:48" s="19" customFormat="1" x14ac:dyDescent="0.25">
      <c r="A166" s="1037"/>
      <c r="M166" s="20"/>
      <c r="T166" s="823"/>
      <c r="V166" s="1279"/>
      <c r="W166" s="1279"/>
      <c r="X166" s="1279"/>
      <c r="Y166" s="1279"/>
      <c r="Z166" s="1279"/>
      <c r="AA166" s="1279"/>
      <c r="AB166" s="1279"/>
      <c r="AC166" s="1279"/>
      <c r="AD166" s="823"/>
      <c r="AE166" s="823"/>
      <c r="AF166" s="823"/>
      <c r="AG166" s="823"/>
      <c r="AH166" s="823"/>
      <c r="AI166" s="823"/>
      <c r="AJ166" s="823"/>
      <c r="AK166" s="823"/>
      <c r="AL166" s="823"/>
      <c r="AM166" s="823"/>
      <c r="AN166" s="823"/>
      <c r="AO166" s="823"/>
      <c r="AP166" s="823"/>
      <c r="AQ166" s="823"/>
      <c r="AR166" s="823"/>
      <c r="AS166" s="823"/>
      <c r="AT166" s="823"/>
      <c r="AU166" s="823"/>
      <c r="AV166" s="823"/>
    </row>
    <row r="167" spans="1:48" s="19" customFormat="1" x14ac:dyDescent="0.25">
      <c r="A167" s="1037"/>
      <c r="M167" s="20"/>
      <c r="T167" s="823"/>
      <c r="V167" s="1279"/>
      <c r="W167" s="1279"/>
      <c r="X167" s="1279"/>
      <c r="Y167" s="1279"/>
      <c r="Z167" s="1279"/>
      <c r="AA167" s="1279"/>
      <c r="AB167" s="1279"/>
      <c r="AC167" s="1279"/>
      <c r="AD167" s="823"/>
      <c r="AE167" s="823"/>
      <c r="AF167" s="823"/>
      <c r="AG167" s="823"/>
      <c r="AH167" s="823"/>
      <c r="AI167" s="823"/>
      <c r="AJ167" s="823"/>
      <c r="AK167" s="823"/>
      <c r="AL167" s="823"/>
      <c r="AM167" s="823"/>
      <c r="AN167" s="823"/>
      <c r="AO167" s="823"/>
      <c r="AP167" s="823"/>
      <c r="AQ167" s="823"/>
      <c r="AR167" s="823"/>
      <c r="AS167" s="823"/>
      <c r="AT167" s="823"/>
      <c r="AU167" s="823"/>
      <c r="AV167" s="823"/>
    </row>
    <row r="168" spans="1:48" s="19" customFormat="1" x14ac:dyDescent="0.25">
      <c r="A168" s="1037"/>
      <c r="M168" s="20"/>
      <c r="T168" s="823"/>
      <c r="V168" s="1279"/>
      <c r="W168" s="1279"/>
      <c r="X168" s="1279"/>
      <c r="Y168" s="1279"/>
      <c r="Z168" s="1279"/>
      <c r="AA168" s="1279"/>
      <c r="AB168" s="1279"/>
      <c r="AC168" s="1279"/>
      <c r="AD168" s="823"/>
      <c r="AE168" s="823"/>
      <c r="AF168" s="823"/>
      <c r="AG168" s="823"/>
      <c r="AH168" s="823"/>
      <c r="AI168" s="823"/>
      <c r="AJ168" s="823"/>
      <c r="AK168" s="823"/>
      <c r="AL168" s="823"/>
      <c r="AM168" s="823"/>
      <c r="AN168" s="823"/>
      <c r="AO168" s="823"/>
      <c r="AP168" s="823"/>
      <c r="AQ168" s="823"/>
      <c r="AR168" s="823"/>
      <c r="AS168" s="823"/>
      <c r="AT168" s="823"/>
      <c r="AU168" s="823"/>
      <c r="AV168" s="823"/>
    </row>
    <row r="169" spans="1:48" s="19" customFormat="1" x14ac:dyDescent="0.25">
      <c r="A169" s="1037"/>
      <c r="M169" s="20"/>
      <c r="T169" s="823"/>
      <c r="V169" s="1279"/>
      <c r="W169" s="1279"/>
      <c r="X169" s="1279"/>
      <c r="Y169" s="1279"/>
      <c r="Z169" s="1279"/>
      <c r="AA169" s="1279"/>
      <c r="AB169" s="1279"/>
      <c r="AC169" s="1279"/>
      <c r="AD169" s="823"/>
      <c r="AE169" s="823"/>
      <c r="AF169" s="823"/>
      <c r="AG169" s="823"/>
      <c r="AH169" s="823"/>
      <c r="AI169" s="823"/>
      <c r="AJ169" s="823"/>
      <c r="AK169" s="823"/>
      <c r="AL169" s="823"/>
      <c r="AM169" s="823"/>
      <c r="AN169" s="823"/>
      <c r="AO169" s="823"/>
      <c r="AP169" s="823"/>
      <c r="AQ169" s="823"/>
      <c r="AR169" s="823"/>
      <c r="AS169" s="823"/>
      <c r="AT169" s="823"/>
      <c r="AU169" s="823"/>
      <c r="AV169" s="823"/>
    </row>
    <row r="170" spans="1:48" s="19" customFormat="1" x14ac:dyDescent="0.25">
      <c r="A170" s="1037"/>
      <c r="M170" s="20"/>
      <c r="T170" s="823"/>
      <c r="V170" s="1279"/>
      <c r="W170" s="1279"/>
      <c r="X170" s="1279"/>
      <c r="Y170" s="1279"/>
      <c r="Z170" s="1279"/>
      <c r="AA170" s="1279"/>
      <c r="AB170" s="1279"/>
      <c r="AC170" s="1279"/>
      <c r="AD170" s="823"/>
      <c r="AE170" s="823"/>
      <c r="AF170" s="823"/>
      <c r="AG170" s="823"/>
      <c r="AH170" s="823"/>
      <c r="AI170" s="823"/>
      <c r="AJ170" s="823"/>
      <c r="AK170" s="823"/>
      <c r="AL170" s="823"/>
      <c r="AM170" s="823"/>
      <c r="AN170" s="823"/>
      <c r="AO170" s="823"/>
      <c r="AP170" s="823"/>
      <c r="AQ170" s="823"/>
      <c r="AR170" s="823"/>
      <c r="AS170" s="823"/>
      <c r="AT170" s="823"/>
      <c r="AU170" s="823"/>
      <c r="AV170" s="823"/>
    </row>
    <row r="171" spans="1:48" s="19" customFormat="1" x14ac:dyDescent="0.25">
      <c r="A171" s="1037"/>
      <c r="M171" s="20"/>
      <c r="T171" s="823"/>
      <c r="V171" s="1279"/>
      <c r="W171" s="1279"/>
      <c r="X171" s="1279"/>
      <c r="Y171" s="1279"/>
      <c r="Z171" s="1279"/>
      <c r="AA171" s="1279"/>
      <c r="AB171" s="1279"/>
      <c r="AC171" s="1279"/>
      <c r="AD171" s="823"/>
      <c r="AE171" s="823"/>
      <c r="AF171" s="823"/>
      <c r="AG171" s="823"/>
      <c r="AH171" s="823"/>
      <c r="AI171" s="823"/>
      <c r="AJ171" s="823"/>
      <c r="AK171" s="823"/>
      <c r="AL171" s="823"/>
      <c r="AM171" s="823"/>
      <c r="AN171" s="823"/>
      <c r="AO171" s="823"/>
      <c r="AP171" s="823"/>
      <c r="AQ171" s="823"/>
      <c r="AR171" s="823"/>
      <c r="AS171" s="823"/>
      <c r="AT171" s="823"/>
      <c r="AU171" s="823"/>
      <c r="AV171" s="823"/>
    </row>
    <row r="172" spans="1:48" s="19" customFormat="1" x14ac:dyDescent="0.25">
      <c r="A172" s="1037"/>
      <c r="M172" s="20"/>
      <c r="T172" s="823"/>
      <c r="V172" s="1279"/>
      <c r="W172" s="1279"/>
      <c r="X172" s="1279"/>
      <c r="Y172" s="1279"/>
      <c r="Z172" s="1279"/>
      <c r="AA172" s="1279"/>
      <c r="AB172" s="1279"/>
      <c r="AC172" s="1279"/>
      <c r="AD172" s="823"/>
      <c r="AE172" s="823"/>
      <c r="AF172" s="823"/>
      <c r="AG172" s="823"/>
      <c r="AH172" s="823"/>
      <c r="AI172" s="823"/>
      <c r="AJ172" s="823"/>
      <c r="AK172" s="823"/>
      <c r="AL172" s="823"/>
      <c r="AM172" s="823"/>
      <c r="AN172" s="823"/>
      <c r="AO172" s="823"/>
      <c r="AP172" s="823"/>
      <c r="AQ172" s="823"/>
      <c r="AR172" s="823"/>
      <c r="AS172" s="823"/>
      <c r="AT172" s="823"/>
      <c r="AU172" s="823"/>
      <c r="AV172" s="823"/>
    </row>
    <row r="173" spans="1:48" s="19" customFormat="1" x14ac:dyDescent="0.25">
      <c r="A173" s="1037"/>
      <c r="M173" s="20"/>
      <c r="T173" s="823"/>
      <c r="V173" s="1279"/>
      <c r="W173" s="1279"/>
      <c r="X173" s="1279"/>
      <c r="Y173" s="1279"/>
      <c r="Z173" s="1279"/>
      <c r="AA173" s="1279"/>
      <c r="AB173" s="1279"/>
      <c r="AC173" s="1279"/>
      <c r="AD173" s="823"/>
      <c r="AE173" s="823"/>
      <c r="AF173" s="823"/>
      <c r="AG173" s="823"/>
      <c r="AH173" s="823"/>
      <c r="AI173" s="823"/>
      <c r="AJ173" s="823"/>
      <c r="AK173" s="823"/>
      <c r="AL173" s="823"/>
      <c r="AM173" s="823"/>
      <c r="AN173" s="823"/>
      <c r="AO173" s="823"/>
      <c r="AP173" s="823"/>
      <c r="AQ173" s="823"/>
      <c r="AR173" s="823"/>
      <c r="AS173" s="823"/>
      <c r="AT173" s="823"/>
      <c r="AU173" s="823"/>
      <c r="AV173" s="823"/>
    </row>
    <row r="174" spans="1:48" s="19" customFormat="1" x14ac:dyDescent="0.25">
      <c r="A174" s="1037"/>
      <c r="M174" s="20"/>
      <c r="T174" s="823"/>
      <c r="V174" s="1279"/>
      <c r="W174" s="1279"/>
      <c r="X174" s="1279"/>
      <c r="Y174" s="1279"/>
      <c r="Z174" s="1279"/>
      <c r="AA174" s="1279"/>
      <c r="AB174" s="1279"/>
      <c r="AC174" s="1279"/>
      <c r="AD174" s="823"/>
      <c r="AE174" s="823"/>
      <c r="AF174" s="823"/>
      <c r="AG174" s="823"/>
      <c r="AH174" s="823"/>
      <c r="AI174" s="823"/>
      <c r="AJ174" s="823"/>
      <c r="AK174" s="823"/>
      <c r="AL174" s="823"/>
      <c r="AM174" s="823"/>
      <c r="AN174" s="823"/>
      <c r="AO174" s="823"/>
      <c r="AP174" s="823"/>
      <c r="AQ174" s="823"/>
      <c r="AR174" s="823"/>
      <c r="AS174" s="823"/>
      <c r="AT174" s="823"/>
      <c r="AU174" s="823"/>
      <c r="AV174" s="823"/>
    </row>
    <row r="175" spans="1:48" s="19" customFormat="1" x14ac:dyDescent="0.25">
      <c r="A175" s="1037"/>
      <c r="M175" s="20"/>
      <c r="T175" s="823"/>
      <c r="V175" s="1279"/>
      <c r="W175" s="1279"/>
      <c r="X175" s="1279"/>
      <c r="Y175" s="1279"/>
      <c r="Z175" s="1279"/>
      <c r="AA175" s="1279"/>
      <c r="AB175" s="1279"/>
      <c r="AC175" s="1279"/>
      <c r="AD175" s="823"/>
      <c r="AE175" s="823"/>
      <c r="AF175" s="823"/>
      <c r="AG175" s="823"/>
      <c r="AH175" s="823"/>
      <c r="AI175" s="823"/>
      <c r="AJ175" s="823"/>
      <c r="AK175" s="823"/>
      <c r="AL175" s="823"/>
      <c r="AM175" s="823"/>
      <c r="AN175" s="823"/>
      <c r="AO175" s="823"/>
      <c r="AP175" s="823"/>
      <c r="AQ175" s="823"/>
      <c r="AR175" s="823"/>
      <c r="AS175" s="823"/>
      <c r="AT175" s="823"/>
      <c r="AU175" s="823"/>
      <c r="AV175" s="823"/>
    </row>
    <row r="176" spans="1:48" s="19" customFormat="1" x14ac:dyDescent="0.25">
      <c r="A176" s="1037"/>
      <c r="M176" s="20"/>
      <c r="T176" s="823"/>
      <c r="V176" s="1279"/>
      <c r="W176" s="1279"/>
      <c r="X176" s="1279"/>
      <c r="Y176" s="1279"/>
      <c r="Z176" s="1279"/>
      <c r="AA176" s="1279"/>
      <c r="AB176" s="1279"/>
      <c r="AC176" s="1279"/>
      <c r="AD176" s="823"/>
      <c r="AE176" s="823"/>
      <c r="AF176" s="823"/>
      <c r="AG176" s="823"/>
      <c r="AH176" s="823"/>
      <c r="AI176" s="823"/>
      <c r="AJ176" s="823"/>
      <c r="AK176" s="823"/>
      <c r="AL176" s="823"/>
      <c r="AM176" s="823"/>
      <c r="AN176" s="823"/>
      <c r="AO176" s="823"/>
      <c r="AP176" s="823"/>
      <c r="AQ176" s="823"/>
      <c r="AR176" s="823"/>
      <c r="AS176" s="823"/>
      <c r="AT176" s="823"/>
      <c r="AU176" s="823"/>
      <c r="AV176" s="823"/>
    </row>
    <row r="177" spans="1:48" s="19" customFormat="1" x14ac:dyDescent="0.25">
      <c r="A177" s="1037"/>
      <c r="M177" s="20"/>
      <c r="T177" s="823"/>
      <c r="V177" s="1279"/>
      <c r="W177" s="1279"/>
      <c r="X177" s="1279"/>
      <c r="Y177" s="1279"/>
      <c r="Z177" s="1279"/>
      <c r="AA177" s="1279"/>
      <c r="AB177" s="1279"/>
      <c r="AC177" s="1279"/>
      <c r="AD177" s="823"/>
      <c r="AE177" s="823"/>
      <c r="AF177" s="823"/>
      <c r="AG177" s="823"/>
      <c r="AH177" s="823"/>
      <c r="AI177" s="823"/>
      <c r="AJ177" s="823"/>
      <c r="AK177" s="823"/>
      <c r="AL177" s="823"/>
      <c r="AM177" s="823"/>
      <c r="AN177" s="823"/>
      <c r="AO177" s="823"/>
      <c r="AP177" s="823"/>
      <c r="AQ177" s="823"/>
      <c r="AR177" s="823"/>
      <c r="AS177" s="823"/>
      <c r="AT177" s="823"/>
      <c r="AU177" s="823"/>
      <c r="AV177" s="823"/>
    </row>
    <row r="178" spans="1:48" s="19" customFormat="1" x14ac:dyDescent="0.25">
      <c r="A178" s="1037"/>
      <c r="M178" s="20"/>
      <c r="T178" s="823"/>
      <c r="V178" s="1279"/>
      <c r="W178" s="1279"/>
      <c r="X178" s="1279"/>
      <c r="Y178" s="1279"/>
      <c r="Z178" s="1279"/>
      <c r="AA178" s="1279"/>
      <c r="AB178" s="1279"/>
      <c r="AC178" s="1279"/>
      <c r="AD178" s="823"/>
      <c r="AE178" s="823"/>
      <c r="AF178" s="823"/>
      <c r="AG178" s="823"/>
      <c r="AH178" s="823"/>
      <c r="AI178" s="823"/>
      <c r="AJ178" s="823"/>
      <c r="AK178" s="823"/>
      <c r="AL178" s="823"/>
      <c r="AM178" s="823"/>
      <c r="AN178" s="823"/>
      <c r="AO178" s="823"/>
      <c r="AP178" s="823"/>
      <c r="AQ178" s="823"/>
      <c r="AR178" s="823"/>
      <c r="AS178" s="823"/>
      <c r="AT178" s="823"/>
      <c r="AU178" s="823"/>
      <c r="AV178" s="823"/>
    </row>
    <row r="179" spans="1:48" s="19" customFormat="1" x14ac:dyDescent="0.25">
      <c r="A179" s="1037"/>
      <c r="M179" s="20"/>
      <c r="T179" s="823"/>
      <c r="V179" s="1279"/>
      <c r="W179" s="1279"/>
      <c r="X179" s="1279"/>
      <c r="Y179" s="1279"/>
      <c r="Z179" s="1279"/>
      <c r="AA179" s="1279"/>
      <c r="AB179" s="1279"/>
      <c r="AC179" s="1279"/>
      <c r="AD179" s="823"/>
      <c r="AE179" s="823"/>
      <c r="AF179" s="823"/>
      <c r="AG179" s="823"/>
      <c r="AH179" s="823"/>
      <c r="AI179" s="823"/>
      <c r="AJ179" s="823"/>
      <c r="AK179" s="823"/>
      <c r="AL179" s="823"/>
      <c r="AM179" s="823"/>
      <c r="AN179" s="823"/>
      <c r="AO179" s="823"/>
      <c r="AP179" s="823"/>
      <c r="AQ179" s="823"/>
      <c r="AR179" s="823"/>
      <c r="AS179" s="823"/>
      <c r="AT179" s="823"/>
      <c r="AU179" s="823"/>
      <c r="AV179" s="823"/>
    </row>
    <row r="180" spans="1:48" s="19" customFormat="1" x14ac:dyDescent="0.25">
      <c r="A180" s="1037"/>
      <c r="M180" s="20"/>
      <c r="T180" s="823"/>
      <c r="V180" s="1279"/>
      <c r="W180" s="1279"/>
      <c r="X180" s="1279"/>
      <c r="Y180" s="1279"/>
      <c r="Z180" s="1279"/>
      <c r="AA180" s="1279"/>
      <c r="AB180" s="1279"/>
      <c r="AC180" s="1279"/>
      <c r="AD180" s="823"/>
      <c r="AE180" s="823"/>
      <c r="AF180" s="823"/>
      <c r="AG180" s="823"/>
      <c r="AH180" s="823"/>
      <c r="AI180" s="823"/>
      <c r="AJ180" s="823"/>
      <c r="AK180" s="823"/>
      <c r="AL180" s="823"/>
      <c r="AM180" s="823"/>
      <c r="AN180" s="823"/>
      <c r="AO180" s="823"/>
      <c r="AP180" s="823"/>
      <c r="AQ180" s="823"/>
      <c r="AR180" s="823"/>
      <c r="AS180" s="823"/>
      <c r="AT180" s="823"/>
      <c r="AU180" s="823"/>
      <c r="AV180" s="823"/>
    </row>
    <row r="181" spans="1:48" s="19" customFormat="1" x14ac:dyDescent="0.25">
      <c r="A181" s="1037"/>
      <c r="M181" s="20"/>
      <c r="T181" s="823"/>
      <c r="V181" s="1279"/>
      <c r="W181" s="1279"/>
      <c r="X181" s="1279"/>
      <c r="Y181" s="1279"/>
      <c r="Z181" s="1279"/>
      <c r="AA181" s="1279"/>
      <c r="AB181" s="1279"/>
      <c r="AC181" s="1279"/>
      <c r="AD181" s="823"/>
      <c r="AE181" s="823"/>
      <c r="AF181" s="823"/>
      <c r="AG181" s="823"/>
      <c r="AH181" s="823"/>
      <c r="AI181" s="823"/>
      <c r="AJ181" s="823"/>
      <c r="AK181" s="823"/>
      <c r="AL181" s="823"/>
      <c r="AM181" s="823"/>
      <c r="AN181" s="823"/>
      <c r="AO181" s="823"/>
      <c r="AP181" s="823"/>
      <c r="AQ181" s="823"/>
      <c r="AR181" s="823"/>
      <c r="AS181" s="823"/>
      <c r="AT181" s="823"/>
      <c r="AU181" s="823"/>
      <c r="AV181" s="823"/>
    </row>
    <row r="182" spans="1:48" s="19" customFormat="1" x14ac:dyDescent="0.25">
      <c r="A182" s="1037"/>
      <c r="M182" s="20"/>
      <c r="T182" s="823"/>
      <c r="V182" s="1279"/>
      <c r="W182" s="1279"/>
      <c r="X182" s="1279"/>
      <c r="Y182" s="1279"/>
      <c r="Z182" s="1279"/>
      <c r="AA182" s="1279"/>
      <c r="AB182" s="1279"/>
      <c r="AC182" s="1279"/>
      <c r="AD182" s="823"/>
      <c r="AE182" s="823"/>
      <c r="AF182" s="823"/>
      <c r="AG182" s="823"/>
      <c r="AH182" s="823"/>
      <c r="AI182" s="823"/>
      <c r="AJ182" s="823"/>
      <c r="AK182" s="823"/>
      <c r="AL182" s="823"/>
      <c r="AM182" s="823"/>
      <c r="AN182" s="823"/>
      <c r="AO182" s="823"/>
      <c r="AP182" s="823"/>
      <c r="AQ182" s="823"/>
      <c r="AR182" s="823"/>
      <c r="AS182" s="823"/>
      <c r="AT182" s="823"/>
      <c r="AU182" s="823"/>
      <c r="AV182" s="823"/>
    </row>
    <row r="183" spans="1:48" s="19" customFormat="1" x14ac:dyDescent="0.25">
      <c r="A183" s="1037"/>
      <c r="M183" s="20"/>
      <c r="T183" s="823"/>
      <c r="V183" s="1279"/>
      <c r="W183" s="1279"/>
      <c r="X183" s="1279"/>
      <c r="Y183" s="1279"/>
      <c r="Z183" s="1279"/>
      <c r="AA183" s="1279"/>
      <c r="AB183" s="1279"/>
      <c r="AC183" s="1279"/>
      <c r="AD183" s="823"/>
      <c r="AE183" s="823"/>
      <c r="AF183" s="823"/>
      <c r="AG183" s="823"/>
      <c r="AH183" s="823"/>
      <c r="AI183" s="823"/>
      <c r="AJ183" s="823"/>
      <c r="AK183" s="823"/>
      <c r="AL183" s="823"/>
      <c r="AM183" s="823"/>
      <c r="AN183" s="823"/>
      <c r="AO183" s="823"/>
      <c r="AP183" s="823"/>
      <c r="AQ183" s="823"/>
      <c r="AR183" s="823"/>
      <c r="AS183" s="823"/>
      <c r="AT183" s="823"/>
      <c r="AU183" s="823"/>
      <c r="AV183" s="823"/>
    </row>
    <row r="184" spans="1:48" s="19" customFormat="1" x14ac:dyDescent="0.25">
      <c r="A184" s="1037"/>
      <c r="M184" s="20"/>
      <c r="T184" s="823"/>
      <c r="V184" s="1279"/>
      <c r="W184" s="1279"/>
      <c r="X184" s="1279"/>
      <c r="Y184" s="1279"/>
      <c r="Z184" s="1279"/>
      <c r="AA184" s="1279"/>
      <c r="AB184" s="1279"/>
      <c r="AC184" s="1279"/>
      <c r="AD184" s="823"/>
      <c r="AE184" s="823"/>
      <c r="AF184" s="823"/>
      <c r="AG184" s="823"/>
      <c r="AH184" s="823"/>
      <c r="AI184" s="823"/>
      <c r="AJ184" s="823"/>
      <c r="AK184" s="823"/>
      <c r="AL184" s="823"/>
      <c r="AM184" s="823"/>
      <c r="AN184" s="823"/>
      <c r="AO184" s="823"/>
      <c r="AP184" s="823"/>
      <c r="AQ184" s="823"/>
      <c r="AR184" s="823"/>
      <c r="AS184" s="823"/>
      <c r="AT184" s="823"/>
      <c r="AU184" s="823"/>
      <c r="AV184" s="823"/>
    </row>
    <row r="185" spans="1:48" s="19" customFormat="1" x14ac:dyDescent="0.25">
      <c r="A185" s="1037"/>
      <c r="M185" s="20"/>
      <c r="T185" s="823"/>
      <c r="V185" s="1279"/>
      <c r="W185" s="1279"/>
      <c r="X185" s="1279"/>
      <c r="Y185" s="1279"/>
      <c r="Z185" s="1279"/>
      <c r="AA185" s="1279"/>
      <c r="AB185" s="1279"/>
      <c r="AC185" s="1279"/>
      <c r="AD185" s="823"/>
      <c r="AE185" s="823"/>
      <c r="AF185" s="823"/>
      <c r="AG185" s="823"/>
      <c r="AH185" s="823"/>
      <c r="AI185" s="823"/>
      <c r="AJ185" s="823"/>
      <c r="AK185" s="823"/>
      <c r="AL185" s="823"/>
      <c r="AM185" s="823"/>
      <c r="AN185" s="823"/>
      <c r="AO185" s="823"/>
      <c r="AP185" s="823"/>
      <c r="AQ185" s="823"/>
      <c r="AR185" s="823"/>
      <c r="AS185" s="823"/>
      <c r="AT185" s="823"/>
      <c r="AU185" s="823"/>
      <c r="AV185" s="823"/>
    </row>
    <row r="186" spans="1:48" s="19" customFormat="1" x14ac:dyDescent="0.25">
      <c r="A186" s="1037"/>
      <c r="M186" s="20"/>
      <c r="T186" s="823"/>
      <c r="V186" s="1279"/>
      <c r="W186" s="1279"/>
      <c r="X186" s="1279"/>
      <c r="Y186" s="1279"/>
      <c r="Z186" s="1279"/>
      <c r="AA186" s="1279"/>
      <c r="AB186" s="1279"/>
      <c r="AC186" s="1279"/>
      <c r="AD186" s="823"/>
      <c r="AE186" s="823"/>
      <c r="AF186" s="823"/>
      <c r="AG186" s="823"/>
      <c r="AH186" s="823"/>
      <c r="AI186" s="823"/>
      <c r="AJ186" s="823"/>
      <c r="AK186" s="823"/>
      <c r="AL186" s="823"/>
      <c r="AM186" s="823"/>
      <c r="AN186" s="823"/>
      <c r="AO186" s="823"/>
      <c r="AP186" s="823"/>
      <c r="AQ186" s="823"/>
      <c r="AR186" s="823"/>
      <c r="AS186" s="823"/>
      <c r="AT186" s="823"/>
      <c r="AU186" s="823"/>
      <c r="AV186" s="823"/>
    </row>
    <row r="187" spans="1:48" s="19" customFormat="1" x14ac:dyDescent="0.25">
      <c r="A187" s="1037"/>
      <c r="M187" s="20"/>
      <c r="T187" s="823"/>
      <c r="V187" s="1279"/>
      <c r="W187" s="1279"/>
      <c r="X187" s="1279"/>
      <c r="Y187" s="1279"/>
      <c r="Z187" s="1279"/>
      <c r="AA187" s="1279"/>
      <c r="AB187" s="1279"/>
      <c r="AC187" s="1279"/>
      <c r="AD187" s="823"/>
      <c r="AE187" s="823"/>
      <c r="AF187" s="823"/>
      <c r="AG187" s="823"/>
      <c r="AH187" s="823"/>
      <c r="AI187" s="823"/>
      <c r="AJ187" s="823"/>
      <c r="AK187" s="823"/>
      <c r="AL187" s="823"/>
      <c r="AM187" s="823"/>
      <c r="AN187" s="823"/>
      <c r="AO187" s="823"/>
      <c r="AP187" s="823"/>
      <c r="AQ187" s="823"/>
      <c r="AR187" s="823"/>
      <c r="AS187" s="823"/>
      <c r="AT187" s="823"/>
      <c r="AU187" s="823"/>
      <c r="AV187" s="823"/>
    </row>
    <row r="188" spans="1:48" s="19" customFormat="1" x14ac:dyDescent="0.25">
      <c r="A188" s="1037"/>
      <c r="M188" s="20"/>
      <c r="T188" s="823"/>
      <c r="V188" s="1279"/>
      <c r="W188" s="1279"/>
      <c r="X188" s="1279"/>
      <c r="Y188" s="1279"/>
      <c r="Z188" s="1279"/>
      <c r="AA188" s="1279"/>
      <c r="AB188" s="1279"/>
      <c r="AC188" s="1279"/>
      <c r="AD188" s="823"/>
      <c r="AE188" s="823"/>
      <c r="AF188" s="823"/>
      <c r="AG188" s="823"/>
      <c r="AH188" s="823"/>
      <c r="AI188" s="823"/>
      <c r="AJ188" s="823"/>
      <c r="AK188" s="823"/>
      <c r="AL188" s="823"/>
      <c r="AM188" s="823"/>
      <c r="AN188" s="823"/>
      <c r="AO188" s="823"/>
      <c r="AP188" s="823"/>
      <c r="AQ188" s="823"/>
      <c r="AR188" s="823"/>
      <c r="AS188" s="823"/>
      <c r="AT188" s="823"/>
      <c r="AU188" s="823"/>
      <c r="AV188" s="823"/>
    </row>
    <row r="189" spans="1:48" s="19" customFormat="1" x14ac:dyDescent="0.25">
      <c r="A189" s="1037"/>
      <c r="M189" s="20"/>
      <c r="T189" s="823"/>
      <c r="V189" s="1279"/>
      <c r="W189" s="1279"/>
      <c r="X189" s="1279"/>
      <c r="Y189" s="1279"/>
      <c r="Z189" s="1279"/>
      <c r="AA189" s="1279"/>
      <c r="AB189" s="1279"/>
      <c r="AC189" s="1279"/>
      <c r="AD189" s="823"/>
      <c r="AE189" s="823"/>
      <c r="AF189" s="823"/>
      <c r="AG189" s="823"/>
      <c r="AH189" s="823"/>
      <c r="AI189" s="823"/>
      <c r="AJ189" s="823"/>
      <c r="AK189" s="823"/>
      <c r="AL189" s="823"/>
      <c r="AM189" s="823"/>
      <c r="AN189" s="823"/>
      <c r="AO189" s="823"/>
      <c r="AP189" s="823"/>
      <c r="AQ189" s="823"/>
      <c r="AR189" s="823"/>
      <c r="AS189" s="823"/>
      <c r="AT189" s="823"/>
      <c r="AU189" s="823"/>
      <c r="AV189" s="823"/>
    </row>
    <row r="190" spans="1:48" s="19" customFormat="1" x14ac:dyDescent="0.25">
      <c r="A190" s="1037"/>
      <c r="M190" s="20"/>
      <c r="T190" s="823"/>
      <c r="V190" s="1279"/>
      <c r="W190" s="1279"/>
      <c r="X190" s="1279"/>
      <c r="Y190" s="1279"/>
      <c r="Z190" s="1279"/>
      <c r="AA190" s="1279"/>
      <c r="AB190" s="1279"/>
      <c r="AC190" s="1279"/>
      <c r="AD190" s="823"/>
      <c r="AE190" s="823"/>
      <c r="AF190" s="823"/>
      <c r="AG190" s="823"/>
      <c r="AH190" s="823"/>
      <c r="AI190" s="823"/>
      <c r="AJ190" s="823"/>
      <c r="AK190" s="823"/>
      <c r="AL190" s="823"/>
      <c r="AM190" s="823"/>
      <c r="AN190" s="823"/>
      <c r="AO190" s="823"/>
      <c r="AP190" s="823"/>
      <c r="AQ190" s="823"/>
      <c r="AR190" s="823"/>
      <c r="AS190" s="823"/>
      <c r="AT190" s="823"/>
      <c r="AU190" s="823"/>
      <c r="AV190" s="823"/>
    </row>
    <row r="191" spans="1:48" s="19" customFormat="1" x14ac:dyDescent="0.25">
      <c r="A191" s="1037"/>
      <c r="M191" s="20"/>
      <c r="T191" s="823"/>
      <c r="V191" s="1279"/>
      <c r="W191" s="1279"/>
      <c r="X191" s="1279"/>
      <c r="Y191" s="1279"/>
      <c r="Z191" s="1279"/>
      <c r="AA191" s="1279"/>
      <c r="AB191" s="1279"/>
      <c r="AC191" s="1279"/>
      <c r="AD191" s="823"/>
      <c r="AE191" s="823"/>
      <c r="AF191" s="823"/>
      <c r="AG191" s="823"/>
      <c r="AH191" s="823"/>
      <c r="AI191" s="823"/>
      <c r="AJ191" s="823"/>
      <c r="AK191" s="823"/>
      <c r="AL191" s="823"/>
      <c r="AM191" s="823"/>
      <c r="AN191" s="823"/>
      <c r="AO191" s="823"/>
      <c r="AP191" s="823"/>
      <c r="AQ191" s="823"/>
      <c r="AR191" s="823"/>
      <c r="AS191" s="823"/>
      <c r="AT191" s="823"/>
      <c r="AU191" s="823"/>
      <c r="AV191" s="823"/>
    </row>
    <row r="192" spans="1:48" s="19" customFormat="1" x14ac:dyDescent="0.25">
      <c r="A192" s="1037"/>
      <c r="M192" s="20"/>
      <c r="T192" s="823"/>
      <c r="V192" s="1279"/>
      <c r="W192" s="1279"/>
      <c r="X192" s="1279"/>
      <c r="Y192" s="1279"/>
      <c r="Z192" s="1279"/>
      <c r="AA192" s="1279"/>
      <c r="AB192" s="1279"/>
      <c r="AC192" s="1279"/>
      <c r="AD192" s="823"/>
      <c r="AE192" s="823"/>
      <c r="AF192" s="823"/>
      <c r="AG192" s="823"/>
      <c r="AH192" s="823"/>
      <c r="AI192" s="823"/>
      <c r="AJ192" s="823"/>
      <c r="AK192" s="823"/>
      <c r="AL192" s="823"/>
      <c r="AM192" s="823"/>
      <c r="AN192" s="823"/>
      <c r="AO192" s="823"/>
      <c r="AP192" s="823"/>
      <c r="AQ192" s="823"/>
      <c r="AR192" s="823"/>
      <c r="AS192" s="823"/>
      <c r="AT192" s="823"/>
      <c r="AU192" s="823"/>
      <c r="AV192" s="823"/>
    </row>
    <row r="193" spans="1:48" s="19" customFormat="1" x14ac:dyDescent="0.25">
      <c r="A193" s="1037"/>
      <c r="M193" s="20"/>
      <c r="T193" s="823"/>
      <c r="V193" s="1279"/>
      <c r="W193" s="1279"/>
      <c r="X193" s="1279"/>
      <c r="Y193" s="1279"/>
      <c r="Z193" s="1279"/>
      <c r="AA193" s="1279"/>
      <c r="AB193" s="1279"/>
      <c r="AC193" s="1279"/>
      <c r="AD193" s="823"/>
      <c r="AE193" s="823"/>
      <c r="AF193" s="823"/>
      <c r="AG193" s="823"/>
      <c r="AH193" s="823"/>
      <c r="AI193" s="823"/>
      <c r="AJ193" s="823"/>
      <c r="AK193" s="823"/>
      <c r="AL193" s="823"/>
      <c r="AM193" s="823"/>
      <c r="AN193" s="823"/>
      <c r="AO193" s="823"/>
      <c r="AP193" s="823"/>
      <c r="AQ193" s="823"/>
      <c r="AR193" s="823"/>
      <c r="AS193" s="823"/>
      <c r="AT193" s="823"/>
      <c r="AU193" s="823"/>
      <c r="AV193" s="823"/>
    </row>
    <row r="194" spans="1:48" s="19" customFormat="1" x14ac:dyDescent="0.25">
      <c r="A194" s="1037"/>
      <c r="M194" s="20"/>
      <c r="T194" s="823"/>
      <c r="V194" s="1279"/>
      <c r="W194" s="1279"/>
      <c r="X194" s="1279"/>
      <c r="Y194" s="1279"/>
      <c r="Z194" s="1279"/>
      <c r="AA194" s="1279"/>
      <c r="AB194" s="1279"/>
      <c r="AC194" s="1279"/>
      <c r="AD194" s="823"/>
      <c r="AE194" s="823"/>
      <c r="AF194" s="823"/>
      <c r="AG194" s="823"/>
      <c r="AH194" s="823"/>
      <c r="AI194" s="823"/>
      <c r="AJ194" s="823"/>
      <c r="AK194" s="823"/>
      <c r="AL194" s="823"/>
      <c r="AM194" s="823"/>
      <c r="AN194" s="823"/>
      <c r="AO194" s="823"/>
      <c r="AP194" s="823"/>
      <c r="AQ194" s="823"/>
      <c r="AR194" s="823"/>
      <c r="AS194" s="823"/>
      <c r="AT194" s="823"/>
      <c r="AU194" s="823"/>
      <c r="AV194" s="823"/>
    </row>
    <row r="195" spans="1:48" s="19" customFormat="1" x14ac:dyDescent="0.25">
      <c r="A195" s="1037"/>
      <c r="M195" s="20"/>
      <c r="T195" s="823"/>
      <c r="V195" s="1279"/>
      <c r="W195" s="1279"/>
      <c r="X195" s="1279"/>
      <c r="Y195" s="1279"/>
      <c r="Z195" s="1279"/>
      <c r="AA195" s="1279"/>
      <c r="AB195" s="1279"/>
      <c r="AC195" s="1279"/>
      <c r="AD195" s="823"/>
      <c r="AE195" s="823"/>
      <c r="AF195" s="823"/>
      <c r="AG195" s="823"/>
      <c r="AH195" s="823"/>
      <c r="AI195" s="823"/>
      <c r="AJ195" s="823"/>
      <c r="AK195" s="823"/>
      <c r="AL195" s="823"/>
      <c r="AM195" s="823"/>
      <c r="AN195" s="823"/>
      <c r="AO195" s="823"/>
      <c r="AP195" s="823"/>
      <c r="AQ195" s="823"/>
      <c r="AR195" s="823"/>
      <c r="AS195" s="823"/>
      <c r="AT195" s="823"/>
      <c r="AU195" s="823"/>
      <c r="AV195" s="823"/>
    </row>
    <row r="196" spans="1:48" s="19" customFormat="1" x14ac:dyDescent="0.25">
      <c r="A196" s="1037"/>
      <c r="M196" s="20"/>
      <c r="T196" s="823"/>
      <c r="V196" s="1279"/>
      <c r="W196" s="1279"/>
      <c r="X196" s="1279"/>
      <c r="Y196" s="1279"/>
      <c r="Z196" s="1279"/>
      <c r="AA196" s="1279"/>
      <c r="AB196" s="1279"/>
      <c r="AC196" s="1279"/>
      <c r="AD196" s="823"/>
      <c r="AE196" s="823"/>
      <c r="AF196" s="823"/>
      <c r="AG196" s="823"/>
      <c r="AH196" s="823"/>
      <c r="AI196" s="823"/>
      <c r="AJ196" s="823"/>
      <c r="AK196" s="823"/>
      <c r="AL196" s="823"/>
      <c r="AM196" s="823"/>
      <c r="AN196" s="823"/>
      <c r="AO196" s="823"/>
      <c r="AP196" s="823"/>
      <c r="AQ196" s="823"/>
      <c r="AR196" s="823"/>
      <c r="AS196" s="823"/>
      <c r="AT196" s="823"/>
      <c r="AU196" s="823"/>
      <c r="AV196" s="823"/>
    </row>
    <row r="197" spans="1:48" s="19" customFormat="1" x14ac:dyDescent="0.25">
      <c r="A197" s="1037"/>
      <c r="M197" s="20"/>
      <c r="T197" s="823"/>
      <c r="V197" s="1279"/>
      <c r="W197" s="1279"/>
      <c r="X197" s="1279"/>
      <c r="Y197" s="1279"/>
      <c r="Z197" s="1279"/>
      <c r="AA197" s="1279"/>
      <c r="AB197" s="1279"/>
      <c r="AC197" s="1279"/>
      <c r="AD197" s="823"/>
      <c r="AE197" s="823"/>
      <c r="AF197" s="823"/>
      <c r="AG197" s="823"/>
      <c r="AH197" s="823"/>
      <c r="AI197" s="823"/>
      <c r="AJ197" s="823"/>
      <c r="AK197" s="823"/>
      <c r="AL197" s="823"/>
      <c r="AM197" s="823"/>
      <c r="AN197" s="823"/>
      <c r="AO197" s="823"/>
      <c r="AP197" s="823"/>
      <c r="AQ197" s="823"/>
      <c r="AR197" s="823"/>
      <c r="AS197" s="823"/>
      <c r="AT197" s="823"/>
      <c r="AU197" s="823"/>
      <c r="AV197" s="823"/>
    </row>
    <row r="198" spans="1:48" s="19" customFormat="1" x14ac:dyDescent="0.25">
      <c r="A198" s="1037"/>
      <c r="M198" s="20"/>
      <c r="T198" s="823"/>
      <c r="V198" s="1279"/>
      <c r="W198" s="1279"/>
      <c r="X198" s="1279"/>
      <c r="Y198" s="1279"/>
      <c r="Z198" s="1279"/>
      <c r="AA198" s="1279"/>
      <c r="AB198" s="1279"/>
      <c r="AC198" s="1279"/>
      <c r="AD198" s="823"/>
      <c r="AE198" s="823"/>
      <c r="AF198" s="823"/>
      <c r="AG198" s="823"/>
      <c r="AH198" s="823"/>
      <c r="AI198" s="823"/>
      <c r="AJ198" s="823"/>
      <c r="AK198" s="823"/>
      <c r="AL198" s="823"/>
      <c r="AM198" s="823"/>
      <c r="AN198" s="823"/>
      <c r="AO198" s="823"/>
      <c r="AP198" s="823"/>
      <c r="AQ198" s="823"/>
      <c r="AR198" s="823"/>
      <c r="AS198" s="823"/>
      <c r="AT198" s="823"/>
      <c r="AU198" s="823"/>
      <c r="AV198" s="823"/>
    </row>
    <row r="199" spans="1:48" s="19" customFormat="1" x14ac:dyDescent="0.25">
      <c r="A199" s="1037"/>
      <c r="M199" s="20"/>
      <c r="T199" s="823"/>
      <c r="V199" s="1279"/>
      <c r="W199" s="1279"/>
      <c r="X199" s="1279"/>
      <c r="Y199" s="1279"/>
      <c r="Z199" s="1279"/>
      <c r="AA199" s="1279"/>
      <c r="AB199" s="1279"/>
      <c r="AC199" s="1279"/>
      <c r="AD199" s="823"/>
      <c r="AE199" s="823"/>
      <c r="AF199" s="823"/>
      <c r="AG199" s="823"/>
      <c r="AH199" s="823"/>
      <c r="AI199" s="823"/>
      <c r="AJ199" s="823"/>
      <c r="AK199" s="823"/>
      <c r="AL199" s="823"/>
      <c r="AM199" s="823"/>
      <c r="AN199" s="823"/>
      <c r="AO199" s="823"/>
      <c r="AP199" s="823"/>
      <c r="AQ199" s="823"/>
      <c r="AR199" s="823"/>
      <c r="AS199" s="823"/>
      <c r="AT199" s="823"/>
      <c r="AU199" s="823"/>
      <c r="AV199" s="823"/>
    </row>
    <row r="200" spans="1:48" s="19" customFormat="1" x14ac:dyDescent="0.25">
      <c r="A200" s="1037"/>
      <c r="M200" s="20"/>
      <c r="T200" s="823"/>
      <c r="V200" s="1279"/>
      <c r="W200" s="1279"/>
      <c r="X200" s="1279"/>
      <c r="Y200" s="1279"/>
      <c r="Z200" s="1279"/>
      <c r="AA200" s="1279"/>
      <c r="AB200" s="1279"/>
      <c r="AC200" s="1279"/>
      <c r="AD200" s="823"/>
      <c r="AE200" s="823"/>
      <c r="AF200" s="823"/>
      <c r="AG200" s="823"/>
      <c r="AH200" s="823"/>
      <c r="AI200" s="823"/>
      <c r="AJ200" s="823"/>
      <c r="AK200" s="823"/>
      <c r="AL200" s="823"/>
      <c r="AM200" s="823"/>
      <c r="AN200" s="823"/>
      <c r="AO200" s="823"/>
      <c r="AP200" s="823"/>
      <c r="AQ200" s="823"/>
      <c r="AR200" s="823"/>
      <c r="AS200" s="823"/>
      <c r="AT200" s="823"/>
      <c r="AU200" s="823"/>
      <c r="AV200" s="823"/>
    </row>
    <row r="201" spans="1:48" s="19" customFormat="1" x14ac:dyDescent="0.25">
      <c r="A201" s="1037"/>
      <c r="M201" s="20"/>
      <c r="T201" s="823"/>
      <c r="V201" s="1279"/>
      <c r="W201" s="1279"/>
      <c r="X201" s="1279"/>
      <c r="Y201" s="1279"/>
      <c r="Z201" s="1279"/>
      <c r="AA201" s="1279"/>
      <c r="AB201" s="1279"/>
      <c r="AC201" s="1279"/>
      <c r="AD201" s="823"/>
      <c r="AE201" s="823"/>
      <c r="AF201" s="823"/>
      <c r="AG201" s="823"/>
      <c r="AH201" s="823"/>
      <c r="AI201" s="823"/>
      <c r="AJ201" s="823"/>
      <c r="AK201" s="823"/>
      <c r="AL201" s="823"/>
      <c r="AM201" s="823"/>
      <c r="AN201" s="823"/>
      <c r="AO201" s="823"/>
      <c r="AP201" s="823"/>
      <c r="AQ201" s="823"/>
      <c r="AR201" s="823"/>
      <c r="AS201" s="823"/>
      <c r="AT201" s="823"/>
      <c r="AU201" s="823"/>
      <c r="AV201" s="823"/>
    </row>
    <row r="202" spans="1:48" s="19" customFormat="1" x14ac:dyDescent="0.25">
      <c r="A202" s="1037"/>
      <c r="M202" s="20"/>
      <c r="T202" s="823"/>
      <c r="V202" s="1279"/>
      <c r="W202" s="1279"/>
      <c r="X202" s="1279"/>
      <c r="Y202" s="1279"/>
      <c r="Z202" s="1279"/>
      <c r="AA202" s="1279"/>
      <c r="AB202" s="1279"/>
      <c r="AC202" s="1279"/>
      <c r="AD202" s="823"/>
      <c r="AE202" s="823"/>
      <c r="AF202" s="823"/>
      <c r="AG202" s="823"/>
      <c r="AH202" s="823"/>
      <c r="AI202" s="823"/>
      <c r="AJ202" s="823"/>
      <c r="AK202" s="823"/>
      <c r="AL202" s="823"/>
      <c r="AM202" s="823"/>
      <c r="AN202" s="823"/>
      <c r="AO202" s="823"/>
      <c r="AP202" s="823"/>
      <c r="AQ202" s="823"/>
      <c r="AR202" s="823"/>
      <c r="AS202" s="823"/>
      <c r="AT202" s="823"/>
      <c r="AU202" s="823"/>
      <c r="AV202" s="823"/>
    </row>
    <row r="203" spans="1:48" s="19" customFormat="1" x14ac:dyDescent="0.25">
      <c r="A203" s="1037"/>
      <c r="M203" s="20"/>
      <c r="T203" s="823"/>
      <c r="V203" s="1279"/>
      <c r="W203" s="1279"/>
      <c r="X203" s="1279"/>
      <c r="Y203" s="1279"/>
      <c r="Z203" s="1279"/>
      <c r="AA203" s="1279"/>
      <c r="AB203" s="1279"/>
      <c r="AC203" s="1279"/>
      <c r="AD203" s="823"/>
      <c r="AE203" s="823"/>
      <c r="AF203" s="823"/>
      <c r="AG203" s="823"/>
      <c r="AH203" s="823"/>
      <c r="AI203" s="823"/>
      <c r="AJ203" s="823"/>
      <c r="AK203" s="823"/>
      <c r="AL203" s="823"/>
      <c r="AM203" s="823"/>
      <c r="AN203" s="823"/>
      <c r="AO203" s="823"/>
      <c r="AP203" s="823"/>
      <c r="AQ203" s="823"/>
      <c r="AR203" s="823"/>
      <c r="AS203" s="823"/>
      <c r="AT203" s="823"/>
      <c r="AU203" s="823"/>
      <c r="AV203" s="823"/>
    </row>
    <row r="204" spans="1:48" s="19" customFormat="1" x14ac:dyDescent="0.25">
      <c r="A204" s="1037"/>
      <c r="M204" s="20"/>
      <c r="T204" s="823"/>
      <c r="V204" s="1279"/>
      <c r="W204" s="1279"/>
      <c r="X204" s="1279"/>
      <c r="Y204" s="1279"/>
      <c r="Z204" s="1279"/>
      <c r="AA204" s="1279"/>
      <c r="AB204" s="1279"/>
      <c r="AC204" s="1279"/>
      <c r="AD204" s="823"/>
      <c r="AE204" s="823"/>
      <c r="AF204" s="823"/>
      <c r="AG204" s="823"/>
      <c r="AH204" s="823"/>
      <c r="AI204" s="823"/>
      <c r="AJ204" s="823"/>
      <c r="AK204" s="823"/>
      <c r="AL204" s="823"/>
      <c r="AM204" s="823"/>
      <c r="AN204" s="823"/>
      <c r="AO204" s="823"/>
      <c r="AP204" s="823"/>
      <c r="AQ204" s="823"/>
      <c r="AR204" s="823"/>
      <c r="AS204" s="823"/>
      <c r="AT204" s="823"/>
      <c r="AU204" s="823"/>
      <c r="AV204" s="823"/>
    </row>
    <row r="205" spans="1:48" s="15" customFormat="1" x14ac:dyDescent="0.25">
      <c r="A205" s="1038"/>
      <c r="M205" s="16"/>
      <c r="T205" s="824"/>
      <c r="V205" s="1280"/>
      <c r="W205" s="1280"/>
      <c r="X205" s="1280"/>
      <c r="Y205" s="1280"/>
      <c r="Z205" s="1280"/>
      <c r="AA205" s="1280"/>
      <c r="AB205" s="1280"/>
      <c r="AC205" s="1280"/>
      <c r="AD205" s="824"/>
      <c r="AE205" s="824"/>
      <c r="AF205" s="824"/>
      <c r="AG205" s="824"/>
      <c r="AH205" s="824"/>
      <c r="AI205" s="824"/>
      <c r="AJ205" s="824"/>
      <c r="AK205" s="824"/>
      <c r="AL205" s="824"/>
      <c r="AM205" s="824"/>
      <c r="AN205" s="824"/>
      <c r="AO205" s="824"/>
      <c r="AP205" s="824"/>
      <c r="AQ205" s="824"/>
      <c r="AR205" s="824"/>
      <c r="AS205" s="824"/>
      <c r="AT205" s="824"/>
      <c r="AU205" s="824"/>
      <c r="AV205" s="824"/>
    </row>
    <row r="206" spans="1:48" s="15" customFormat="1" x14ac:dyDescent="0.25">
      <c r="A206" s="1038"/>
      <c r="M206" s="16"/>
      <c r="T206" s="824"/>
      <c r="V206" s="1280"/>
      <c r="W206" s="1280"/>
      <c r="X206" s="1280"/>
      <c r="Y206" s="1280"/>
      <c r="Z206" s="1280"/>
      <c r="AA206" s="1280"/>
      <c r="AB206" s="1280"/>
      <c r="AC206" s="1280"/>
      <c r="AD206" s="824"/>
      <c r="AE206" s="824"/>
      <c r="AF206" s="824"/>
      <c r="AG206" s="824"/>
      <c r="AH206" s="824"/>
      <c r="AI206" s="824"/>
      <c r="AJ206" s="824"/>
      <c r="AK206" s="824"/>
      <c r="AL206" s="824"/>
      <c r="AM206" s="824"/>
      <c r="AN206" s="824"/>
      <c r="AO206" s="824"/>
      <c r="AP206" s="824"/>
      <c r="AQ206" s="824"/>
      <c r="AR206" s="824"/>
      <c r="AS206" s="824"/>
      <c r="AT206" s="824"/>
      <c r="AU206" s="824"/>
      <c r="AV206" s="824"/>
    </row>
    <row r="207" spans="1:48" s="15" customFormat="1" x14ac:dyDescent="0.25">
      <c r="A207" s="1038"/>
      <c r="M207" s="16"/>
      <c r="T207" s="824"/>
      <c r="V207" s="1280"/>
      <c r="W207" s="1280"/>
      <c r="X207" s="1280"/>
      <c r="Y207" s="1280"/>
      <c r="Z207" s="1280"/>
      <c r="AA207" s="1280"/>
      <c r="AB207" s="1280"/>
      <c r="AC207" s="1280"/>
      <c r="AD207" s="824"/>
      <c r="AE207" s="824"/>
      <c r="AF207" s="824"/>
      <c r="AG207" s="824"/>
      <c r="AH207" s="824"/>
      <c r="AI207" s="824"/>
      <c r="AJ207" s="824"/>
      <c r="AK207" s="824"/>
      <c r="AL207" s="824"/>
      <c r="AM207" s="824"/>
      <c r="AN207" s="824"/>
      <c r="AO207" s="824"/>
      <c r="AP207" s="824"/>
      <c r="AQ207" s="824"/>
      <c r="AR207" s="824"/>
      <c r="AS207" s="824"/>
      <c r="AT207" s="824"/>
      <c r="AU207" s="824"/>
      <c r="AV207" s="824"/>
    </row>
    <row r="208" spans="1:48" s="15" customFormat="1" x14ac:dyDescent="0.25">
      <c r="A208" s="1038"/>
      <c r="M208" s="16"/>
      <c r="T208" s="824"/>
      <c r="V208" s="1280"/>
      <c r="W208" s="1280"/>
      <c r="X208" s="1280"/>
      <c r="Y208" s="1280"/>
      <c r="Z208" s="1280"/>
      <c r="AA208" s="1280"/>
      <c r="AB208" s="1280"/>
      <c r="AC208" s="1280"/>
      <c r="AD208" s="824"/>
      <c r="AE208" s="824"/>
      <c r="AF208" s="824"/>
      <c r="AG208" s="824"/>
      <c r="AH208" s="824"/>
      <c r="AI208" s="824"/>
      <c r="AJ208" s="824"/>
      <c r="AK208" s="824"/>
      <c r="AL208" s="824"/>
      <c r="AM208" s="824"/>
      <c r="AN208" s="824"/>
      <c r="AO208" s="824"/>
      <c r="AP208" s="824"/>
      <c r="AQ208" s="824"/>
      <c r="AR208" s="824"/>
      <c r="AS208" s="824"/>
      <c r="AT208" s="824"/>
      <c r="AU208" s="824"/>
      <c r="AV208" s="824"/>
    </row>
    <row r="209" spans="1:48" s="15" customFormat="1" x14ac:dyDescent="0.25">
      <c r="A209" s="1038"/>
      <c r="M209" s="16"/>
      <c r="T209" s="824"/>
      <c r="V209" s="1280"/>
      <c r="W209" s="1280"/>
      <c r="X209" s="1280"/>
      <c r="Y209" s="1280"/>
      <c r="Z209" s="1280"/>
      <c r="AA209" s="1280"/>
      <c r="AB209" s="1280"/>
      <c r="AC209" s="1280"/>
      <c r="AD209" s="824"/>
      <c r="AE209" s="824"/>
      <c r="AF209" s="824"/>
      <c r="AG209" s="824"/>
      <c r="AH209" s="824"/>
      <c r="AI209" s="824"/>
      <c r="AJ209" s="824"/>
      <c r="AK209" s="824"/>
      <c r="AL209" s="824"/>
      <c r="AM209" s="824"/>
      <c r="AN209" s="824"/>
      <c r="AO209" s="824"/>
      <c r="AP209" s="824"/>
      <c r="AQ209" s="824"/>
      <c r="AR209" s="824"/>
      <c r="AS209" s="824"/>
      <c r="AT209" s="824"/>
      <c r="AU209" s="824"/>
      <c r="AV209" s="824"/>
    </row>
    <row r="210" spans="1:48" s="15" customFormat="1" x14ac:dyDescent="0.25">
      <c r="A210" s="1038"/>
      <c r="M210" s="16"/>
      <c r="T210" s="824"/>
      <c r="V210" s="1280"/>
      <c r="W210" s="1280"/>
      <c r="X210" s="1280"/>
      <c r="Y210" s="1280"/>
      <c r="Z210" s="1280"/>
      <c r="AA210" s="1280"/>
      <c r="AB210" s="1280"/>
      <c r="AC210" s="1280"/>
      <c r="AD210" s="824"/>
      <c r="AE210" s="824"/>
      <c r="AF210" s="824"/>
      <c r="AG210" s="824"/>
      <c r="AH210" s="824"/>
      <c r="AI210" s="824"/>
      <c r="AJ210" s="824"/>
      <c r="AK210" s="824"/>
      <c r="AL210" s="824"/>
      <c r="AM210" s="824"/>
      <c r="AN210" s="824"/>
      <c r="AO210" s="824"/>
      <c r="AP210" s="824"/>
      <c r="AQ210" s="824"/>
      <c r="AR210" s="824"/>
      <c r="AS210" s="824"/>
      <c r="AT210" s="824"/>
      <c r="AU210" s="824"/>
      <c r="AV210" s="824"/>
    </row>
    <row r="211" spans="1:48" s="15" customFormat="1" x14ac:dyDescent="0.25">
      <c r="A211" s="1038"/>
      <c r="M211" s="16"/>
      <c r="T211" s="824"/>
      <c r="V211" s="1280"/>
      <c r="W211" s="1280"/>
      <c r="X211" s="1280"/>
      <c r="Y211" s="1280"/>
      <c r="Z211" s="1280"/>
      <c r="AA211" s="1280"/>
      <c r="AB211" s="1280"/>
      <c r="AC211" s="1280"/>
      <c r="AD211" s="824"/>
      <c r="AE211" s="824"/>
      <c r="AF211" s="824"/>
      <c r="AG211" s="824"/>
      <c r="AH211" s="824"/>
      <c r="AI211" s="824"/>
      <c r="AJ211" s="824"/>
      <c r="AK211" s="824"/>
      <c r="AL211" s="824"/>
      <c r="AM211" s="824"/>
      <c r="AN211" s="824"/>
      <c r="AO211" s="824"/>
      <c r="AP211" s="824"/>
      <c r="AQ211" s="824"/>
      <c r="AR211" s="824"/>
      <c r="AS211" s="824"/>
      <c r="AT211" s="824"/>
      <c r="AU211" s="824"/>
      <c r="AV211" s="824"/>
    </row>
    <row r="212" spans="1:48" s="15" customFormat="1" x14ac:dyDescent="0.25">
      <c r="A212" s="1038"/>
      <c r="M212" s="16"/>
      <c r="T212" s="824"/>
      <c r="V212" s="1280"/>
      <c r="W212" s="1280"/>
      <c r="X212" s="1280"/>
      <c r="Y212" s="1280"/>
      <c r="Z212" s="1280"/>
      <c r="AA212" s="1280"/>
      <c r="AB212" s="1280"/>
      <c r="AC212" s="1280"/>
      <c r="AD212" s="824"/>
      <c r="AE212" s="824"/>
      <c r="AF212" s="824"/>
      <c r="AG212" s="824"/>
      <c r="AH212" s="824"/>
      <c r="AI212" s="824"/>
      <c r="AJ212" s="824"/>
      <c r="AK212" s="824"/>
      <c r="AL212" s="824"/>
      <c r="AM212" s="824"/>
      <c r="AN212" s="824"/>
      <c r="AO212" s="824"/>
      <c r="AP212" s="824"/>
      <c r="AQ212" s="824"/>
      <c r="AR212" s="824"/>
      <c r="AS212" s="824"/>
      <c r="AT212" s="824"/>
      <c r="AU212" s="824"/>
      <c r="AV212" s="824"/>
    </row>
    <row r="213" spans="1:48" s="15" customFormat="1" x14ac:dyDescent="0.25">
      <c r="A213" s="1038"/>
      <c r="M213" s="16"/>
      <c r="T213" s="824"/>
      <c r="V213" s="1280"/>
      <c r="W213" s="1280"/>
      <c r="X213" s="1280"/>
      <c r="Y213" s="1280"/>
      <c r="Z213" s="1280"/>
      <c r="AA213" s="1280"/>
      <c r="AB213" s="1280"/>
      <c r="AC213" s="1280"/>
      <c r="AD213" s="824"/>
      <c r="AE213" s="824"/>
      <c r="AF213" s="824"/>
      <c r="AG213" s="824"/>
      <c r="AH213" s="824"/>
      <c r="AI213" s="824"/>
      <c r="AJ213" s="824"/>
      <c r="AK213" s="824"/>
      <c r="AL213" s="824"/>
      <c r="AM213" s="824"/>
      <c r="AN213" s="824"/>
      <c r="AO213" s="824"/>
      <c r="AP213" s="824"/>
      <c r="AQ213" s="824"/>
      <c r="AR213" s="824"/>
      <c r="AS213" s="824"/>
      <c r="AT213" s="824"/>
      <c r="AU213" s="824"/>
      <c r="AV213" s="824"/>
    </row>
    <row r="214" spans="1:48" s="15" customFormat="1" x14ac:dyDescent="0.25">
      <c r="A214" s="1038"/>
      <c r="M214" s="16"/>
      <c r="T214" s="824"/>
      <c r="V214" s="1280"/>
      <c r="W214" s="1280"/>
      <c r="X214" s="1280"/>
      <c r="Y214" s="1280"/>
      <c r="Z214" s="1280"/>
      <c r="AA214" s="1280"/>
      <c r="AB214" s="1280"/>
      <c r="AC214" s="1280"/>
      <c r="AD214" s="824"/>
      <c r="AE214" s="824"/>
      <c r="AF214" s="824"/>
      <c r="AG214" s="824"/>
      <c r="AH214" s="824"/>
      <c r="AI214" s="824"/>
      <c r="AJ214" s="824"/>
      <c r="AK214" s="824"/>
      <c r="AL214" s="824"/>
      <c r="AM214" s="824"/>
      <c r="AN214" s="824"/>
      <c r="AO214" s="824"/>
      <c r="AP214" s="824"/>
      <c r="AQ214" s="824"/>
      <c r="AR214" s="824"/>
      <c r="AS214" s="824"/>
      <c r="AT214" s="824"/>
      <c r="AU214" s="824"/>
      <c r="AV214" s="824"/>
    </row>
    <row r="215" spans="1:48" s="15" customFormat="1" x14ac:dyDescent="0.25">
      <c r="A215" s="1038"/>
      <c r="M215" s="16"/>
      <c r="T215" s="824"/>
      <c r="V215" s="1280"/>
      <c r="W215" s="1280"/>
      <c r="X215" s="1280"/>
      <c r="Y215" s="1280"/>
      <c r="Z215" s="1280"/>
      <c r="AA215" s="1280"/>
      <c r="AB215" s="1280"/>
      <c r="AC215" s="1280"/>
      <c r="AD215" s="824"/>
      <c r="AE215" s="824"/>
      <c r="AF215" s="824"/>
      <c r="AG215" s="824"/>
      <c r="AH215" s="824"/>
      <c r="AI215" s="824"/>
      <c r="AJ215" s="824"/>
      <c r="AK215" s="824"/>
      <c r="AL215" s="824"/>
      <c r="AM215" s="824"/>
      <c r="AN215" s="824"/>
      <c r="AO215" s="824"/>
      <c r="AP215" s="824"/>
      <c r="AQ215" s="824"/>
      <c r="AR215" s="824"/>
      <c r="AS215" s="824"/>
      <c r="AT215" s="824"/>
      <c r="AU215" s="824"/>
      <c r="AV215" s="824"/>
    </row>
    <row r="216" spans="1:48" s="15" customFormat="1" x14ac:dyDescent="0.25">
      <c r="A216" s="1038"/>
      <c r="M216" s="16"/>
      <c r="T216" s="824"/>
      <c r="V216" s="1280"/>
      <c r="W216" s="1280"/>
      <c r="X216" s="1280"/>
      <c r="Y216" s="1280"/>
      <c r="Z216" s="1280"/>
      <c r="AA216" s="1280"/>
      <c r="AB216" s="1280"/>
      <c r="AC216" s="1280"/>
      <c r="AD216" s="824"/>
      <c r="AE216" s="824"/>
      <c r="AF216" s="824"/>
      <c r="AG216" s="824"/>
      <c r="AH216" s="824"/>
      <c r="AI216" s="824"/>
      <c r="AJ216" s="824"/>
      <c r="AK216" s="824"/>
      <c r="AL216" s="824"/>
      <c r="AM216" s="824"/>
      <c r="AN216" s="824"/>
      <c r="AO216" s="824"/>
      <c r="AP216" s="824"/>
      <c r="AQ216" s="824"/>
      <c r="AR216" s="824"/>
      <c r="AS216" s="824"/>
      <c r="AT216" s="824"/>
      <c r="AU216" s="824"/>
      <c r="AV216" s="824"/>
    </row>
    <row r="217" spans="1:48" s="15" customFormat="1" x14ac:dyDescent="0.25">
      <c r="A217" s="1038"/>
      <c r="M217" s="16"/>
      <c r="T217" s="824"/>
      <c r="V217" s="1280"/>
      <c r="W217" s="1280"/>
      <c r="X217" s="1280"/>
      <c r="Y217" s="1280"/>
      <c r="Z217" s="1280"/>
      <c r="AA217" s="1280"/>
      <c r="AB217" s="1280"/>
      <c r="AC217" s="1280"/>
      <c r="AD217" s="824"/>
      <c r="AE217" s="824"/>
      <c r="AF217" s="824"/>
      <c r="AG217" s="824"/>
      <c r="AH217" s="824"/>
      <c r="AI217" s="824"/>
      <c r="AJ217" s="824"/>
      <c r="AK217" s="824"/>
      <c r="AL217" s="824"/>
      <c r="AM217" s="824"/>
      <c r="AN217" s="824"/>
      <c r="AO217" s="824"/>
      <c r="AP217" s="824"/>
      <c r="AQ217" s="824"/>
      <c r="AR217" s="824"/>
      <c r="AS217" s="824"/>
      <c r="AT217" s="824"/>
      <c r="AU217" s="824"/>
      <c r="AV217" s="824"/>
    </row>
    <row r="218" spans="1:48" s="15" customFormat="1" x14ac:dyDescent="0.25">
      <c r="A218" s="1038"/>
      <c r="M218" s="16"/>
      <c r="T218" s="824"/>
      <c r="V218" s="1280"/>
      <c r="W218" s="1280"/>
      <c r="X218" s="1280"/>
      <c r="Y218" s="1280"/>
      <c r="Z218" s="1280"/>
      <c r="AA218" s="1280"/>
      <c r="AB218" s="1280"/>
      <c r="AC218" s="1280"/>
      <c r="AD218" s="824"/>
      <c r="AE218" s="824"/>
      <c r="AF218" s="824"/>
      <c r="AG218" s="824"/>
      <c r="AH218" s="824"/>
      <c r="AI218" s="824"/>
      <c r="AJ218" s="824"/>
      <c r="AK218" s="824"/>
      <c r="AL218" s="824"/>
      <c r="AM218" s="824"/>
      <c r="AN218" s="824"/>
      <c r="AO218" s="824"/>
      <c r="AP218" s="824"/>
      <c r="AQ218" s="824"/>
      <c r="AR218" s="824"/>
      <c r="AS218" s="824"/>
      <c r="AT218" s="824"/>
      <c r="AU218" s="824"/>
      <c r="AV218" s="824"/>
    </row>
    <row r="219" spans="1:48" s="15" customFormat="1" x14ac:dyDescent="0.25">
      <c r="A219" s="1038"/>
      <c r="M219" s="16"/>
      <c r="T219" s="824"/>
      <c r="V219" s="1280"/>
      <c r="W219" s="1280"/>
      <c r="X219" s="1280"/>
      <c r="Y219" s="1280"/>
      <c r="Z219" s="1280"/>
      <c r="AA219" s="1280"/>
      <c r="AB219" s="1280"/>
      <c r="AC219" s="1280"/>
      <c r="AD219" s="824"/>
      <c r="AE219" s="824"/>
      <c r="AF219" s="824"/>
      <c r="AG219" s="824"/>
      <c r="AH219" s="824"/>
      <c r="AI219" s="824"/>
      <c r="AJ219" s="824"/>
      <c r="AK219" s="824"/>
      <c r="AL219" s="824"/>
      <c r="AM219" s="824"/>
      <c r="AN219" s="824"/>
      <c r="AO219" s="824"/>
      <c r="AP219" s="824"/>
      <c r="AQ219" s="824"/>
      <c r="AR219" s="824"/>
      <c r="AS219" s="824"/>
      <c r="AT219" s="824"/>
      <c r="AU219" s="824"/>
      <c r="AV219" s="824"/>
    </row>
    <row r="220" spans="1:48" s="15" customFormat="1" x14ac:dyDescent="0.25">
      <c r="A220" s="1038"/>
      <c r="M220" s="16"/>
      <c r="T220" s="824"/>
      <c r="V220" s="1280"/>
      <c r="W220" s="1280"/>
      <c r="X220" s="1280"/>
      <c r="Y220" s="1280"/>
      <c r="Z220" s="1280"/>
      <c r="AA220" s="1280"/>
      <c r="AB220" s="1280"/>
      <c r="AC220" s="1280"/>
      <c r="AD220" s="824"/>
      <c r="AE220" s="824"/>
      <c r="AF220" s="824"/>
      <c r="AG220" s="824"/>
      <c r="AH220" s="824"/>
      <c r="AI220" s="824"/>
      <c r="AJ220" s="824"/>
      <c r="AK220" s="824"/>
      <c r="AL220" s="824"/>
      <c r="AM220" s="824"/>
      <c r="AN220" s="824"/>
      <c r="AO220" s="824"/>
      <c r="AP220" s="824"/>
      <c r="AQ220" s="824"/>
      <c r="AR220" s="824"/>
      <c r="AS220" s="824"/>
      <c r="AT220" s="824"/>
      <c r="AU220" s="824"/>
      <c r="AV220" s="824"/>
    </row>
    <row r="221" spans="1:48" s="15" customFormat="1" x14ac:dyDescent="0.25">
      <c r="A221" s="1038"/>
      <c r="M221" s="16"/>
      <c r="T221" s="824"/>
      <c r="V221" s="1280"/>
      <c r="W221" s="1280"/>
      <c r="X221" s="1280"/>
      <c r="Y221" s="1280"/>
      <c r="Z221" s="1280"/>
      <c r="AA221" s="1280"/>
      <c r="AB221" s="1280"/>
      <c r="AC221" s="1280"/>
      <c r="AD221" s="824"/>
      <c r="AE221" s="824"/>
      <c r="AF221" s="824"/>
      <c r="AG221" s="824"/>
      <c r="AH221" s="824"/>
      <c r="AI221" s="824"/>
      <c r="AJ221" s="824"/>
      <c r="AK221" s="824"/>
      <c r="AL221" s="824"/>
      <c r="AM221" s="824"/>
      <c r="AN221" s="824"/>
      <c r="AO221" s="824"/>
      <c r="AP221" s="824"/>
      <c r="AQ221" s="824"/>
      <c r="AR221" s="824"/>
      <c r="AS221" s="824"/>
      <c r="AT221" s="824"/>
      <c r="AU221" s="824"/>
      <c r="AV221" s="824"/>
    </row>
    <row r="222" spans="1:48" s="15" customFormat="1" x14ac:dyDescent="0.25">
      <c r="A222" s="1038"/>
      <c r="M222" s="16"/>
      <c r="T222" s="824"/>
      <c r="V222" s="1280"/>
      <c r="W222" s="1280"/>
      <c r="X222" s="1280"/>
      <c r="Y222" s="1280"/>
      <c r="Z222" s="1280"/>
      <c r="AA222" s="1280"/>
      <c r="AB222" s="1280"/>
      <c r="AC222" s="1280"/>
      <c r="AD222" s="824"/>
      <c r="AE222" s="824"/>
      <c r="AF222" s="824"/>
      <c r="AG222" s="824"/>
      <c r="AH222" s="824"/>
      <c r="AI222" s="824"/>
      <c r="AJ222" s="824"/>
      <c r="AK222" s="824"/>
      <c r="AL222" s="824"/>
      <c r="AM222" s="824"/>
      <c r="AN222" s="824"/>
      <c r="AO222" s="824"/>
      <c r="AP222" s="824"/>
      <c r="AQ222" s="824"/>
      <c r="AR222" s="824"/>
      <c r="AS222" s="824"/>
      <c r="AT222" s="824"/>
      <c r="AU222" s="824"/>
      <c r="AV222" s="824"/>
    </row>
    <row r="223" spans="1:48" s="15" customFormat="1" x14ac:dyDescent="0.25">
      <c r="A223" s="1038"/>
      <c r="M223" s="16"/>
      <c r="T223" s="824"/>
      <c r="V223" s="1280"/>
      <c r="W223" s="1280"/>
      <c r="X223" s="1280"/>
      <c r="Y223" s="1280"/>
      <c r="Z223" s="1280"/>
      <c r="AA223" s="1280"/>
      <c r="AB223" s="1280"/>
      <c r="AC223" s="1280"/>
      <c r="AD223" s="824"/>
      <c r="AE223" s="824"/>
      <c r="AF223" s="824"/>
      <c r="AG223" s="824"/>
      <c r="AH223" s="824"/>
      <c r="AI223" s="824"/>
      <c r="AJ223" s="824"/>
      <c r="AK223" s="824"/>
      <c r="AL223" s="824"/>
      <c r="AM223" s="824"/>
      <c r="AN223" s="824"/>
      <c r="AO223" s="824"/>
      <c r="AP223" s="824"/>
      <c r="AQ223" s="824"/>
      <c r="AR223" s="824"/>
      <c r="AS223" s="824"/>
      <c r="AT223" s="824"/>
      <c r="AU223" s="824"/>
      <c r="AV223" s="824"/>
    </row>
    <row r="224" spans="1:48" s="15" customFormat="1" x14ac:dyDescent="0.25">
      <c r="A224" s="1038"/>
      <c r="M224" s="16"/>
      <c r="T224" s="824"/>
      <c r="V224" s="1280"/>
      <c r="W224" s="1280"/>
      <c r="X224" s="1280"/>
      <c r="Y224" s="1280"/>
      <c r="Z224" s="1280"/>
      <c r="AA224" s="1280"/>
      <c r="AB224" s="1280"/>
      <c r="AC224" s="1280"/>
      <c r="AD224" s="824"/>
      <c r="AE224" s="824"/>
      <c r="AF224" s="824"/>
      <c r="AG224" s="824"/>
      <c r="AH224" s="824"/>
      <c r="AI224" s="824"/>
      <c r="AJ224" s="824"/>
      <c r="AK224" s="824"/>
      <c r="AL224" s="824"/>
      <c r="AM224" s="824"/>
      <c r="AN224" s="824"/>
      <c r="AO224" s="824"/>
      <c r="AP224" s="824"/>
      <c r="AQ224" s="824"/>
      <c r="AR224" s="824"/>
      <c r="AS224" s="824"/>
      <c r="AT224" s="824"/>
      <c r="AU224" s="824"/>
      <c r="AV224" s="824"/>
    </row>
    <row r="225" spans="1:48" s="15" customFormat="1" x14ac:dyDescent="0.25">
      <c r="A225" s="1038"/>
      <c r="M225" s="16"/>
      <c r="T225" s="824"/>
      <c r="V225" s="1280"/>
      <c r="W225" s="1280"/>
      <c r="X225" s="1280"/>
      <c r="Y225" s="1280"/>
      <c r="Z225" s="1280"/>
      <c r="AA225" s="1280"/>
      <c r="AB225" s="1280"/>
      <c r="AC225" s="1280"/>
      <c r="AD225" s="824"/>
      <c r="AE225" s="824"/>
      <c r="AF225" s="824"/>
      <c r="AG225" s="824"/>
      <c r="AH225" s="824"/>
      <c r="AI225" s="824"/>
      <c r="AJ225" s="824"/>
      <c r="AK225" s="824"/>
      <c r="AL225" s="824"/>
      <c r="AM225" s="824"/>
      <c r="AN225" s="824"/>
      <c r="AO225" s="824"/>
      <c r="AP225" s="824"/>
      <c r="AQ225" s="824"/>
      <c r="AR225" s="824"/>
      <c r="AS225" s="824"/>
      <c r="AT225" s="824"/>
      <c r="AU225" s="824"/>
      <c r="AV225" s="824"/>
    </row>
    <row r="226" spans="1:48" s="15" customFormat="1" x14ac:dyDescent="0.25">
      <c r="A226" s="1038"/>
      <c r="M226" s="16"/>
      <c r="T226" s="824"/>
      <c r="V226" s="1280"/>
      <c r="W226" s="1280"/>
      <c r="X226" s="1280"/>
      <c r="Y226" s="1280"/>
      <c r="Z226" s="1280"/>
      <c r="AA226" s="1280"/>
      <c r="AB226" s="1280"/>
      <c r="AC226" s="1280"/>
      <c r="AD226" s="824"/>
      <c r="AE226" s="824"/>
      <c r="AF226" s="824"/>
      <c r="AG226" s="824"/>
      <c r="AH226" s="824"/>
      <c r="AI226" s="824"/>
      <c r="AJ226" s="824"/>
      <c r="AK226" s="824"/>
      <c r="AL226" s="824"/>
      <c r="AM226" s="824"/>
      <c r="AN226" s="824"/>
      <c r="AO226" s="824"/>
      <c r="AP226" s="824"/>
      <c r="AQ226" s="824"/>
      <c r="AR226" s="824"/>
      <c r="AS226" s="824"/>
      <c r="AT226" s="824"/>
      <c r="AU226" s="824"/>
      <c r="AV226" s="824"/>
    </row>
    <row r="227" spans="1:48" s="15" customFormat="1" x14ac:dyDescent="0.25">
      <c r="A227" s="1038"/>
      <c r="M227" s="16"/>
      <c r="T227" s="824"/>
      <c r="V227" s="1280"/>
      <c r="W227" s="1280"/>
      <c r="X227" s="1280"/>
      <c r="Y227" s="1280"/>
      <c r="Z227" s="1280"/>
      <c r="AA227" s="1280"/>
      <c r="AB227" s="1280"/>
      <c r="AC227" s="1280"/>
      <c r="AD227" s="824"/>
      <c r="AE227" s="824"/>
      <c r="AF227" s="824"/>
      <c r="AG227" s="824"/>
      <c r="AH227" s="824"/>
      <c r="AI227" s="824"/>
      <c r="AJ227" s="824"/>
      <c r="AK227" s="824"/>
      <c r="AL227" s="824"/>
      <c r="AM227" s="824"/>
      <c r="AN227" s="824"/>
      <c r="AO227" s="824"/>
      <c r="AP227" s="824"/>
      <c r="AQ227" s="824"/>
      <c r="AR227" s="824"/>
      <c r="AS227" s="824"/>
      <c r="AT227" s="824"/>
      <c r="AU227" s="824"/>
      <c r="AV227" s="824"/>
    </row>
    <row r="228" spans="1:48" s="15" customFormat="1" x14ac:dyDescent="0.25">
      <c r="A228" s="1038"/>
      <c r="M228" s="16"/>
      <c r="T228" s="824"/>
      <c r="V228" s="1280"/>
      <c r="W228" s="1280"/>
      <c r="X228" s="1280"/>
      <c r="Y228" s="1280"/>
      <c r="Z228" s="1280"/>
      <c r="AA228" s="1280"/>
      <c r="AB228" s="1280"/>
      <c r="AC228" s="1280"/>
      <c r="AD228" s="824"/>
      <c r="AE228" s="824"/>
      <c r="AF228" s="824"/>
      <c r="AG228" s="824"/>
      <c r="AH228" s="824"/>
      <c r="AI228" s="824"/>
      <c r="AJ228" s="824"/>
      <c r="AK228" s="824"/>
      <c r="AL228" s="824"/>
      <c r="AM228" s="824"/>
      <c r="AN228" s="824"/>
      <c r="AO228" s="824"/>
      <c r="AP228" s="824"/>
      <c r="AQ228" s="824"/>
      <c r="AR228" s="824"/>
      <c r="AS228" s="824"/>
      <c r="AT228" s="824"/>
      <c r="AU228" s="824"/>
      <c r="AV228" s="824"/>
    </row>
    <row r="229" spans="1:48" s="15" customFormat="1" x14ac:dyDescent="0.25">
      <c r="A229" s="1038"/>
      <c r="M229" s="16"/>
      <c r="T229" s="824"/>
      <c r="V229" s="1280"/>
      <c r="W229" s="1280"/>
      <c r="X229" s="1280"/>
      <c r="Y229" s="1280"/>
      <c r="Z229" s="1280"/>
      <c r="AA229" s="1280"/>
      <c r="AB229" s="1280"/>
      <c r="AC229" s="1280"/>
      <c r="AD229" s="824"/>
      <c r="AE229" s="824"/>
      <c r="AF229" s="824"/>
      <c r="AG229" s="824"/>
      <c r="AH229" s="824"/>
      <c r="AI229" s="824"/>
      <c r="AJ229" s="824"/>
      <c r="AK229" s="824"/>
      <c r="AL229" s="824"/>
      <c r="AM229" s="824"/>
      <c r="AN229" s="824"/>
      <c r="AO229" s="824"/>
      <c r="AP229" s="824"/>
      <c r="AQ229" s="824"/>
      <c r="AR229" s="824"/>
      <c r="AS229" s="824"/>
      <c r="AT229" s="824"/>
      <c r="AU229" s="824"/>
      <c r="AV229" s="824"/>
    </row>
    <row r="230" spans="1:48" s="15" customFormat="1" x14ac:dyDescent="0.25">
      <c r="A230" s="1038"/>
      <c r="M230" s="16"/>
      <c r="T230" s="824"/>
      <c r="V230" s="1280"/>
      <c r="W230" s="1280"/>
      <c r="X230" s="1280"/>
      <c r="Y230" s="1280"/>
      <c r="Z230" s="1280"/>
      <c r="AA230" s="1280"/>
      <c r="AB230" s="1280"/>
      <c r="AC230" s="1280"/>
      <c r="AD230" s="824"/>
      <c r="AE230" s="824"/>
      <c r="AF230" s="824"/>
      <c r="AG230" s="824"/>
      <c r="AH230" s="824"/>
      <c r="AI230" s="824"/>
      <c r="AJ230" s="824"/>
      <c r="AK230" s="824"/>
      <c r="AL230" s="824"/>
      <c r="AM230" s="824"/>
      <c r="AN230" s="824"/>
      <c r="AO230" s="824"/>
      <c r="AP230" s="824"/>
      <c r="AQ230" s="824"/>
      <c r="AR230" s="824"/>
      <c r="AS230" s="824"/>
      <c r="AT230" s="824"/>
      <c r="AU230" s="824"/>
      <c r="AV230" s="824"/>
    </row>
    <row r="231" spans="1:48" s="15" customFormat="1" x14ac:dyDescent="0.25">
      <c r="A231" s="1038"/>
      <c r="M231" s="16"/>
      <c r="T231" s="824"/>
      <c r="V231" s="1280"/>
      <c r="W231" s="1280"/>
      <c r="X231" s="1280"/>
      <c r="Y231" s="1280"/>
      <c r="Z231" s="1280"/>
      <c r="AA231" s="1280"/>
      <c r="AB231" s="1280"/>
      <c r="AC231" s="1280"/>
      <c r="AD231" s="824"/>
      <c r="AE231" s="824"/>
      <c r="AF231" s="824"/>
      <c r="AG231" s="824"/>
      <c r="AH231" s="824"/>
      <c r="AI231" s="824"/>
      <c r="AJ231" s="824"/>
      <c r="AK231" s="824"/>
      <c r="AL231" s="824"/>
      <c r="AM231" s="824"/>
      <c r="AN231" s="824"/>
      <c r="AO231" s="824"/>
      <c r="AP231" s="824"/>
      <c r="AQ231" s="824"/>
      <c r="AR231" s="824"/>
      <c r="AS231" s="824"/>
      <c r="AT231" s="824"/>
      <c r="AU231" s="824"/>
      <c r="AV231" s="824"/>
    </row>
    <row r="232" spans="1:48" s="15" customFormat="1" x14ac:dyDescent="0.25">
      <c r="A232" s="1038"/>
      <c r="M232" s="16"/>
      <c r="T232" s="824"/>
      <c r="V232" s="1280"/>
      <c r="W232" s="1280"/>
      <c r="X232" s="1280"/>
      <c r="Y232" s="1280"/>
      <c r="Z232" s="1280"/>
      <c r="AA232" s="1280"/>
      <c r="AB232" s="1280"/>
      <c r="AC232" s="1280"/>
      <c r="AD232" s="824"/>
      <c r="AE232" s="824"/>
      <c r="AF232" s="824"/>
      <c r="AG232" s="824"/>
      <c r="AH232" s="824"/>
      <c r="AI232" s="824"/>
      <c r="AJ232" s="824"/>
      <c r="AK232" s="824"/>
      <c r="AL232" s="824"/>
      <c r="AM232" s="824"/>
      <c r="AN232" s="824"/>
      <c r="AO232" s="824"/>
      <c r="AP232" s="824"/>
      <c r="AQ232" s="824"/>
      <c r="AR232" s="824"/>
      <c r="AS232" s="824"/>
      <c r="AT232" s="824"/>
      <c r="AU232" s="824"/>
      <c r="AV232" s="824"/>
    </row>
    <row r="233" spans="1:48" s="15" customFormat="1" x14ac:dyDescent="0.25">
      <c r="A233" s="1038"/>
      <c r="M233" s="16"/>
      <c r="T233" s="824"/>
      <c r="V233" s="1280"/>
      <c r="W233" s="1280"/>
      <c r="X233" s="1280"/>
      <c r="Y233" s="1280"/>
      <c r="Z233" s="1280"/>
      <c r="AA233" s="1280"/>
      <c r="AB233" s="1280"/>
      <c r="AC233" s="1280"/>
      <c r="AD233" s="824"/>
      <c r="AE233" s="824"/>
      <c r="AF233" s="824"/>
      <c r="AG233" s="824"/>
      <c r="AH233" s="824"/>
      <c r="AI233" s="824"/>
      <c r="AJ233" s="824"/>
      <c r="AK233" s="824"/>
      <c r="AL233" s="824"/>
      <c r="AM233" s="824"/>
      <c r="AN233" s="824"/>
      <c r="AO233" s="824"/>
      <c r="AP233" s="824"/>
      <c r="AQ233" s="824"/>
      <c r="AR233" s="824"/>
      <c r="AS233" s="824"/>
      <c r="AT233" s="824"/>
      <c r="AU233" s="824"/>
      <c r="AV233" s="824"/>
    </row>
    <row r="234" spans="1:48" s="15" customFormat="1" x14ac:dyDescent="0.25">
      <c r="A234" s="1038"/>
      <c r="M234" s="16"/>
      <c r="T234" s="824"/>
      <c r="V234" s="1280"/>
      <c r="W234" s="1280"/>
      <c r="X234" s="1280"/>
      <c r="Y234" s="1280"/>
      <c r="Z234" s="1280"/>
      <c r="AA234" s="1280"/>
      <c r="AB234" s="1280"/>
      <c r="AC234" s="1280"/>
      <c r="AD234" s="824"/>
      <c r="AE234" s="824"/>
      <c r="AF234" s="824"/>
      <c r="AG234" s="824"/>
      <c r="AH234" s="824"/>
      <c r="AI234" s="824"/>
      <c r="AJ234" s="824"/>
      <c r="AK234" s="824"/>
      <c r="AL234" s="824"/>
      <c r="AM234" s="824"/>
      <c r="AN234" s="824"/>
      <c r="AO234" s="824"/>
      <c r="AP234" s="824"/>
      <c r="AQ234" s="824"/>
      <c r="AR234" s="824"/>
      <c r="AS234" s="824"/>
      <c r="AT234" s="824"/>
      <c r="AU234" s="824"/>
      <c r="AV234" s="824"/>
    </row>
    <row r="235" spans="1:48" s="15" customFormat="1" x14ac:dyDescent="0.25">
      <c r="A235" s="1038"/>
      <c r="M235" s="16"/>
      <c r="T235" s="824"/>
      <c r="V235" s="1280"/>
      <c r="W235" s="1280"/>
      <c r="X235" s="1280"/>
      <c r="Y235" s="1280"/>
      <c r="Z235" s="1280"/>
      <c r="AA235" s="1280"/>
      <c r="AB235" s="1280"/>
      <c r="AC235" s="1280"/>
      <c r="AD235" s="824"/>
      <c r="AE235" s="824"/>
      <c r="AF235" s="824"/>
      <c r="AG235" s="824"/>
      <c r="AH235" s="824"/>
      <c r="AI235" s="824"/>
      <c r="AJ235" s="824"/>
      <c r="AK235" s="824"/>
      <c r="AL235" s="824"/>
      <c r="AM235" s="824"/>
      <c r="AN235" s="824"/>
      <c r="AO235" s="824"/>
      <c r="AP235" s="824"/>
      <c r="AQ235" s="824"/>
      <c r="AR235" s="824"/>
      <c r="AS235" s="824"/>
      <c r="AT235" s="824"/>
      <c r="AU235" s="824"/>
      <c r="AV235" s="824"/>
    </row>
    <row r="236" spans="1:48" s="15" customFormat="1" x14ac:dyDescent="0.25">
      <c r="A236" s="1038"/>
      <c r="M236" s="16"/>
      <c r="T236" s="824"/>
      <c r="V236" s="1280"/>
      <c r="W236" s="1280"/>
      <c r="X236" s="1280"/>
      <c r="Y236" s="1280"/>
      <c r="Z236" s="1280"/>
      <c r="AA236" s="1280"/>
      <c r="AB236" s="1280"/>
      <c r="AC236" s="1280"/>
      <c r="AD236" s="824"/>
      <c r="AE236" s="824"/>
      <c r="AF236" s="824"/>
      <c r="AG236" s="824"/>
      <c r="AH236" s="824"/>
      <c r="AI236" s="824"/>
      <c r="AJ236" s="824"/>
      <c r="AK236" s="824"/>
      <c r="AL236" s="824"/>
      <c r="AM236" s="824"/>
      <c r="AN236" s="824"/>
      <c r="AO236" s="824"/>
      <c r="AP236" s="824"/>
      <c r="AQ236" s="824"/>
      <c r="AR236" s="824"/>
      <c r="AS236" s="824"/>
      <c r="AT236" s="824"/>
      <c r="AU236" s="824"/>
      <c r="AV236" s="824"/>
    </row>
    <row r="237" spans="1:48" s="15" customFormat="1" x14ac:dyDescent="0.25">
      <c r="A237" s="1038"/>
      <c r="M237" s="16"/>
      <c r="T237" s="824"/>
      <c r="V237" s="1280"/>
      <c r="W237" s="1280"/>
      <c r="X237" s="1280"/>
      <c r="Y237" s="1280"/>
      <c r="Z237" s="1280"/>
      <c r="AA237" s="1280"/>
      <c r="AB237" s="1280"/>
      <c r="AC237" s="1280"/>
      <c r="AD237" s="824"/>
      <c r="AE237" s="824"/>
      <c r="AF237" s="824"/>
      <c r="AG237" s="824"/>
      <c r="AH237" s="824"/>
      <c r="AI237" s="824"/>
      <c r="AJ237" s="824"/>
      <c r="AK237" s="824"/>
      <c r="AL237" s="824"/>
      <c r="AM237" s="824"/>
      <c r="AN237" s="824"/>
      <c r="AO237" s="824"/>
      <c r="AP237" s="824"/>
      <c r="AQ237" s="824"/>
      <c r="AR237" s="824"/>
      <c r="AS237" s="824"/>
      <c r="AT237" s="824"/>
      <c r="AU237" s="824"/>
      <c r="AV237" s="824"/>
    </row>
    <row r="238" spans="1:48" s="15" customFormat="1" x14ac:dyDescent="0.25">
      <c r="A238" s="1038"/>
      <c r="M238" s="16"/>
      <c r="T238" s="824"/>
      <c r="V238" s="1280"/>
      <c r="W238" s="1280"/>
      <c r="X238" s="1280"/>
      <c r="Y238" s="1280"/>
      <c r="Z238" s="1280"/>
      <c r="AA238" s="1280"/>
      <c r="AB238" s="1280"/>
      <c r="AC238" s="1280"/>
      <c r="AD238" s="824"/>
      <c r="AE238" s="824"/>
      <c r="AF238" s="824"/>
      <c r="AG238" s="824"/>
      <c r="AH238" s="824"/>
      <c r="AI238" s="824"/>
      <c r="AJ238" s="824"/>
      <c r="AK238" s="824"/>
      <c r="AL238" s="824"/>
      <c r="AM238" s="824"/>
      <c r="AN238" s="824"/>
      <c r="AO238" s="824"/>
      <c r="AP238" s="824"/>
      <c r="AQ238" s="824"/>
      <c r="AR238" s="824"/>
      <c r="AS238" s="824"/>
      <c r="AT238" s="824"/>
      <c r="AU238" s="824"/>
      <c r="AV238" s="824"/>
    </row>
    <row r="239" spans="1:48" s="15" customFormat="1" x14ac:dyDescent="0.25">
      <c r="A239" s="1038"/>
      <c r="M239" s="16"/>
      <c r="T239" s="824"/>
      <c r="V239" s="1280"/>
      <c r="W239" s="1280"/>
      <c r="X239" s="1280"/>
      <c r="Y239" s="1280"/>
      <c r="Z239" s="1280"/>
      <c r="AA239" s="1280"/>
      <c r="AB239" s="1280"/>
      <c r="AC239" s="1280"/>
      <c r="AD239" s="824"/>
      <c r="AE239" s="824"/>
      <c r="AF239" s="824"/>
      <c r="AG239" s="824"/>
      <c r="AH239" s="824"/>
      <c r="AI239" s="824"/>
      <c r="AJ239" s="824"/>
      <c r="AK239" s="824"/>
      <c r="AL239" s="824"/>
      <c r="AM239" s="824"/>
      <c r="AN239" s="824"/>
      <c r="AO239" s="824"/>
      <c r="AP239" s="824"/>
      <c r="AQ239" s="824"/>
      <c r="AR239" s="824"/>
      <c r="AS239" s="824"/>
      <c r="AT239" s="824"/>
      <c r="AU239" s="824"/>
      <c r="AV239" s="824"/>
    </row>
    <row r="240" spans="1:48" s="15" customFormat="1" x14ac:dyDescent="0.25">
      <c r="A240" s="1038"/>
      <c r="M240" s="16"/>
      <c r="T240" s="824"/>
      <c r="V240" s="1280"/>
      <c r="W240" s="1280"/>
      <c r="X240" s="1280"/>
      <c r="Y240" s="1280"/>
      <c r="Z240" s="1280"/>
      <c r="AA240" s="1280"/>
      <c r="AB240" s="1280"/>
      <c r="AC240" s="1280"/>
      <c r="AD240" s="824"/>
      <c r="AE240" s="824"/>
      <c r="AF240" s="824"/>
      <c r="AG240" s="824"/>
      <c r="AH240" s="824"/>
      <c r="AI240" s="824"/>
      <c r="AJ240" s="824"/>
      <c r="AK240" s="824"/>
      <c r="AL240" s="824"/>
      <c r="AM240" s="824"/>
      <c r="AN240" s="824"/>
      <c r="AO240" s="824"/>
      <c r="AP240" s="824"/>
      <c r="AQ240" s="824"/>
      <c r="AR240" s="824"/>
      <c r="AS240" s="824"/>
      <c r="AT240" s="824"/>
      <c r="AU240" s="824"/>
      <c r="AV240" s="824"/>
    </row>
    <row r="241" spans="1:48" s="15" customFormat="1" x14ac:dyDescent="0.25">
      <c r="A241" s="1038"/>
      <c r="M241" s="16"/>
      <c r="T241" s="824"/>
      <c r="V241" s="1280"/>
      <c r="W241" s="1280"/>
      <c r="X241" s="1280"/>
      <c r="Y241" s="1280"/>
      <c r="Z241" s="1280"/>
      <c r="AA241" s="1280"/>
      <c r="AB241" s="1280"/>
      <c r="AC241" s="1280"/>
      <c r="AD241" s="824"/>
      <c r="AE241" s="824"/>
      <c r="AF241" s="824"/>
      <c r="AG241" s="824"/>
      <c r="AH241" s="824"/>
      <c r="AI241" s="824"/>
      <c r="AJ241" s="824"/>
      <c r="AK241" s="824"/>
      <c r="AL241" s="824"/>
      <c r="AM241" s="824"/>
      <c r="AN241" s="824"/>
      <c r="AO241" s="824"/>
      <c r="AP241" s="824"/>
      <c r="AQ241" s="824"/>
      <c r="AR241" s="824"/>
      <c r="AS241" s="824"/>
      <c r="AT241" s="824"/>
      <c r="AU241" s="824"/>
      <c r="AV241" s="824"/>
    </row>
    <row r="242" spans="1:48" s="15" customFormat="1" x14ac:dyDescent="0.25">
      <c r="A242" s="1038"/>
      <c r="M242" s="16"/>
      <c r="T242" s="824"/>
      <c r="V242" s="1280"/>
      <c r="W242" s="1280"/>
      <c r="X242" s="1280"/>
      <c r="Y242" s="1280"/>
      <c r="Z242" s="1280"/>
      <c r="AA242" s="1280"/>
      <c r="AB242" s="1280"/>
      <c r="AC242" s="1280"/>
      <c r="AD242" s="824"/>
      <c r="AE242" s="824"/>
      <c r="AF242" s="824"/>
      <c r="AG242" s="824"/>
      <c r="AH242" s="824"/>
      <c r="AI242" s="824"/>
      <c r="AJ242" s="824"/>
      <c r="AK242" s="824"/>
      <c r="AL242" s="824"/>
      <c r="AM242" s="824"/>
      <c r="AN242" s="824"/>
      <c r="AO242" s="824"/>
      <c r="AP242" s="824"/>
      <c r="AQ242" s="824"/>
      <c r="AR242" s="824"/>
      <c r="AS242" s="824"/>
      <c r="AT242" s="824"/>
      <c r="AU242" s="824"/>
      <c r="AV242" s="824"/>
    </row>
    <row r="243" spans="1:48" s="15" customFormat="1" x14ac:dyDescent="0.25">
      <c r="A243" s="1038"/>
      <c r="M243" s="16"/>
      <c r="T243" s="824"/>
      <c r="V243" s="1280"/>
      <c r="W243" s="1280"/>
      <c r="X243" s="1280"/>
      <c r="Y243" s="1280"/>
      <c r="Z243" s="1280"/>
      <c r="AA243" s="1280"/>
      <c r="AB243" s="1280"/>
      <c r="AC243" s="1280"/>
      <c r="AD243" s="824"/>
      <c r="AE243" s="824"/>
      <c r="AF243" s="824"/>
      <c r="AG243" s="824"/>
      <c r="AH243" s="824"/>
      <c r="AI243" s="824"/>
      <c r="AJ243" s="824"/>
      <c r="AK243" s="824"/>
      <c r="AL243" s="824"/>
      <c r="AM243" s="824"/>
      <c r="AN243" s="824"/>
      <c r="AO243" s="824"/>
      <c r="AP243" s="824"/>
      <c r="AQ243" s="824"/>
      <c r="AR243" s="824"/>
      <c r="AS243" s="824"/>
      <c r="AT243" s="824"/>
      <c r="AU243" s="824"/>
      <c r="AV243" s="824"/>
    </row>
    <row r="244" spans="1:48" s="15" customFormat="1" x14ac:dyDescent="0.25">
      <c r="A244" s="1038"/>
      <c r="M244" s="16"/>
      <c r="T244" s="824"/>
      <c r="V244" s="1280"/>
      <c r="W244" s="1280"/>
      <c r="X244" s="1280"/>
      <c r="Y244" s="1280"/>
      <c r="Z244" s="1280"/>
      <c r="AA244" s="1280"/>
      <c r="AB244" s="1280"/>
      <c r="AC244" s="1280"/>
      <c r="AD244" s="824"/>
      <c r="AE244" s="824"/>
      <c r="AF244" s="824"/>
      <c r="AG244" s="824"/>
      <c r="AH244" s="824"/>
      <c r="AI244" s="824"/>
      <c r="AJ244" s="824"/>
      <c r="AK244" s="824"/>
      <c r="AL244" s="824"/>
      <c r="AM244" s="824"/>
      <c r="AN244" s="824"/>
      <c r="AO244" s="824"/>
      <c r="AP244" s="824"/>
      <c r="AQ244" s="824"/>
      <c r="AR244" s="824"/>
      <c r="AS244" s="824"/>
      <c r="AT244" s="824"/>
      <c r="AU244" s="824"/>
      <c r="AV244" s="824"/>
    </row>
    <row r="245" spans="1:48" s="15" customFormat="1" x14ac:dyDescent="0.25">
      <c r="A245" s="1038"/>
      <c r="M245" s="16"/>
      <c r="T245" s="824"/>
      <c r="V245" s="1280"/>
      <c r="W245" s="1280"/>
      <c r="X245" s="1280"/>
      <c r="Y245" s="1280"/>
      <c r="Z245" s="1280"/>
      <c r="AA245" s="1280"/>
      <c r="AB245" s="1280"/>
      <c r="AC245" s="1280"/>
      <c r="AD245" s="824"/>
      <c r="AE245" s="824"/>
      <c r="AF245" s="824"/>
      <c r="AG245" s="824"/>
      <c r="AH245" s="824"/>
      <c r="AI245" s="824"/>
      <c r="AJ245" s="824"/>
      <c r="AK245" s="824"/>
      <c r="AL245" s="824"/>
      <c r="AM245" s="824"/>
      <c r="AN245" s="824"/>
      <c r="AO245" s="824"/>
      <c r="AP245" s="824"/>
      <c r="AQ245" s="824"/>
      <c r="AR245" s="824"/>
      <c r="AS245" s="824"/>
      <c r="AT245" s="824"/>
      <c r="AU245" s="824"/>
      <c r="AV245" s="824"/>
    </row>
    <row r="246" spans="1:48" s="15" customFormat="1" x14ac:dyDescent="0.25">
      <c r="A246" s="1038"/>
      <c r="M246" s="16"/>
      <c r="T246" s="824"/>
      <c r="V246" s="1280"/>
      <c r="W246" s="1280"/>
      <c r="X246" s="1280"/>
      <c r="Y246" s="1280"/>
      <c r="Z246" s="1280"/>
      <c r="AA246" s="1280"/>
      <c r="AB246" s="1280"/>
      <c r="AC246" s="1280"/>
      <c r="AD246" s="824"/>
      <c r="AE246" s="824"/>
      <c r="AF246" s="824"/>
      <c r="AG246" s="824"/>
      <c r="AH246" s="824"/>
      <c r="AI246" s="824"/>
      <c r="AJ246" s="824"/>
      <c r="AK246" s="824"/>
      <c r="AL246" s="824"/>
      <c r="AM246" s="824"/>
      <c r="AN246" s="824"/>
      <c r="AO246" s="824"/>
      <c r="AP246" s="824"/>
      <c r="AQ246" s="824"/>
      <c r="AR246" s="824"/>
      <c r="AS246" s="824"/>
      <c r="AT246" s="824"/>
      <c r="AU246" s="824"/>
      <c r="AV246" s="824"/>
    </row>
    <row r="247" spans="1:48" s="15" customFormat="1" x14ac:dyDescent="0.25">
      <c r="A247" s="1038"/>
      <c r="M247" s="16"/>
      <c r="T247" s="824"/>
      <c r="V247" s="1280"/>
      <c r="W247" s="1280"/>
      <c r="X247" s="1280"/>
      <c r="Y247" s="1280"/>
      <c r="Z247" s="1280"/>
      <c r="AA247" s="1280"/>
      <c r="AB247" s="1280"/>
      <c r="AC247" s="1280"/>
      <c r="AD247" s="824"/>
      <c r="AE247" s="824"/>
      <c r="AF247" s="824"/>
      <c r="AG247" s="824"/>
      <c r="AH247" s="824"/>
      <c r="AI247" s="824"/>
      <c r="AJ247" s="824"/>
      <c r="AK247" s="824"/>
      <c r="AL247" s="824"/>
      <c r="AM247" s="824"/>
      <c r="AN247" s="824"/>
      <c r="AO247" s="824"/>
      <c r="AP247" s="824"/>
      <c r="AQ247" s="824"/>
      <c r="AR247" s="824"/>
      <c r="AS247" s="824"/>
      <c r="AT247" s="824"/>
      <c r="AU247" s="824"/>
      <c r="AV247" s="824"/>
    </row>
    <row r="248" spans="1:48" s="15" customFormat="1" x14ac:dyDescent="0.25">
      <c r="A248" s="1038"/>
      <c r="M248" s="16"/>
      <c r="T248" s="824"/>
      <c r="V248" s="1280"/>
      <c r="W248" s="1280"/>
      <c r="X248" s="1280"/>
      <c r="Y248" s="1280"/>
      <c r="Z248" s="1280"/>
      <c r="AA248" s="1280"/>
      <c r="AB248" s="1280"/>
      <c r="AC248" s="1280"/>
      <c r="AD248" s="824"/>
      <c r="AE248" s="824"/>
      <c r="AF248" s="824"/>
      <c r="AG248" s="824"/>
      <c r="AH248" s="824"/>
      <c r="AI248" s="824"/>
      <c r="AJ248" s="824"/>
      <c r="AK248" s="824"/>
      <c r="AL248" s="824"/>
      <c r="AM248" s="824"/>
      <c r="AN248" s="824"/>
      <c r="AO248" s="824"/>
      <c r="AP248" s="824"/>
      <c r="AQ248" s="824"/>
      <c r="AR248" s="824"/>
      <c r="AS248" s="824"/>
      <c r="AT248" s="824"/>
      <c r="AU248" s="824"/>
      <c r="AV248" s="824"/>
    </row>
    <row r="249" spans="1:48" s="15" customFormat="1" x14ac:dyDescent="0.25">
      <c r="A249" s="1038"/>
      <c r="M249" s="16"/>
      <c r="T249" s="824"/>
      <c r="V249" s="1280"/>
      <c r="W249" s="1280"/>
      <c r="X249" s="1280"/>
      <c r="Y249" s="1280"/>
      <c r="Z249" s="1280"/>
      <c r="AA249" s="1280"/>
      <c r="AB249" s="1280"/>
      <c r="AC249" s="1280"/>
      <c r="AD249" s="824"/>
      <c r="AE249" s="824"/>
      <c r="AF249" s="824"/>
      <c r="AG249" s="824"/>
      <c r="AH249" s="824"/>
      <c r="AI249" s="824"/>
      <c r="AJ249" s="824"/>
      <c r="AK249" s="824"/>
      <c r="AL249" s="824"/>
      <c r="AM249" s="824"/>
      <c r="AN249" s="824"/>
      <c r="AO249" s="824"/>
      <c r="AP249" s="824"/>
      <c r="AQ249" s="824"/>
      <c r="AR249" s="824"/>
      <c r="AS249" s="824"/>
      <c r="AT249" s="824"/>
      <c r="AU249" s="824"/>
      <c r="AV249" s="824"/>
    </row>
    <row r="250" spans="1:48" s="15" customFormat="1" x14ac:dyDescent="0.25">
      <c r="A250" s="1038"/>
      <c r="M250" s="16"/>
      <c r="T250" s="824"/>
      <c r="V250" s="1280"/>
      <c r="W250" s="1280"/>
      <c r="X250" s="1280"/>
      <c r="Y250" s="1280"/>
      <c r="Z250" s="1280"/>
      <c r="AA250" s="1280"/>
      <c r="AB250" s="1280"/>
      <c r="AC250" s="1280"/>
      <c r="AD250" s="824"/>
      <c r="AE250" s="824"/>
      <c r="AF250" s="824"/>
      <c r="AG250" s="824"/>
      <c r="AH250" s="824"/>
      <c r="AI250" s="824"/>
      <c r="AJ250" s="824"/>
      <c r="AK250" s="824"/>
      <c r="AL250" s="824"/>
      <c r="AM250" s="824"/>
      <c r="AN250" s="824"/>
      <c r="AO250" s="824"/>
      <c r="AP250" s="824"/>
      <c r="AQ250" s="824"/>
      <c r="AR250" s="824"/>
      <c r="AS250" s="824"/>
      <c r="AT250" s="824"/>
      <c r="AU250" s="824"/>
      <c r="AV250" s="824"/>
    </row>
    <row r="251" spans="1:48" s="15" customFormat="1" x14ac:dyDescent="0.25">
      <c r="A251" s="1038"/>
      <c r="M251" s="16"/>
      <c r="T251" s="824"/>
      <c r="V251" s="1280"/>
      <c r="W251" s="1280"/>
      <c r="X251" s="1280"/>
      <c r="Y251" s="1280"/>
      <c r="Z251" s="1280"/>
      <c r="AA251" s="1280"/>
      <c r="AB251" s="1280"/>
      <c r="AC251" s="1280"/>
      <c r="AD251" s="824"/>
      <c r="AE251" s="824"/>
      <c r="AF251" s="824"/>
      <c r="AG251" s="824"/>
      <c r="AH251" s="824"/>
      <c r="AI251" s="824"/>
      <c r="AJ251" s="824"/>
      <c r="AK251" s="824"/>
      <c r="AL251" s="824"/>
      <c r="AM251" s="824"/>
      <c r="AN251" s="824"/>
      <c r="AO251" s="824"/>
      <c r="AP251" s="824"/>
      <c r="AQ251" s="824"/>
      <c r="AR251" s="824"/>
      <c r="AS251" s="824"/>
      <c r="AT251" s="824"/>
      <c r="AU251" s="824"/>
      <c r="AV251" s="824"/>
    </row>
    <row r="252" spans="1:48" s="15" customFormat="1" x14ac:dyDescent="0.25">
      <c r="A252" s="1038"/>
      <c r="M252" s="16"/>
      <c r="T252" s="824"/>
      <c r="V252" s="1280"/>
      <c r="W252" s="1280"/>
      <c r="X252" s="1280"/>
      <c r="Y252" s="1280"/>
      <c r="Z252" s="1280"/>
      <c r="AA252" s="1280"/>
      <c r="AB252" s="1280"/>
      <c r="AC252" s="1280"/>
      <c r="AD252" s="824"/>
      <c r="AE252" s="824"/>
      <c r="AF252" s="824"/>
      <c r="AG252" s="824"/>
      <c r="AH252" s="824"/>
      <c r="AI252" s="824"/>
      <c r="AJ252" s="824"/>
      <c r="AK252" s="824"/>
      <c r="AL252" s="824"/>
      <c r="AM252" s="824"/>
      <c r="AN252" s="824"/>
      <c r="AO252" s="824"/>
      <c r="AP252" s="824"/>
      <c r="AQ252" s="824"/>
      <c r="AR252" s="824"/>
      <c r="AS252" s="824"/>
      <c r="AT252" s="824"/>
      <c r="AU252" s="824"/>
      <c r="AV252" s="824"/>
    </row>
    <row r="253" spans="1:48" s="15" customFormat="1" x14ac:dyDescent="0.25">
      <c r="A253" s="1038"/>
      <c r="M253" s="16"/>
      <c r="T253" s="824"/>
      <c r="V253" s="1280"/>
      <c r="W253" s="1280"/>
      <c r="X253" s="1280"/>
      <c r="Y253" s="1280"/>
      <c r="Z253" s="1280"/>
      <c r="AA253" s="1280"/>
      <c r="AB253" s="1280"/>
      <c r="AC253" s="1280"/>
      <c r="AD253" s="824"/>
      <c r="AE253" s="824"/>
      <c r="AF253" s="824"/>
      <c r="AG253" s="824"/>
      <c r="AH253" s="824"/>
      <c r="AI253" s="824"/>
      <c r="AJ253" s="824"/>
      <c r="AK253" s="824"/>
      <c r="AL253" s="824"/>
      <c r="AM253" s="824"/>
      <c r="AN253" s="824"/>
      <c r="AO253" s="824"/>
      <c r="AP253" s="824"/>
      <c r="AQ253" s="824"/>
      <c r="AR253" s="824"/>
      <c r="AS253" s="824"/>
      <c r="AT253" s="824"/>
      <c r="AU253" s="824"/>
      <c r="AV253" s="824"/>
    </row>
    <row r="254" spans="1:48" s="15" customFormat="1" x14ac:dyDescent="0.25">
      <c r="A254" s="1038"/>
      <c r="M254" s="16"/>
      <c r="T254" s="824"/>
      <c r="V254" s="1280"/>
      <c r="W254" s="1280"/>
      <c r="X254" s="1280"/>
      <c r="Y254" s="1280"/>
      <c r="Z254" s="1280"/>
      <c r="AA254" s="1280"/>
      <c r="AB254" s="1280"/>
      <c r="AC254" s="1280"/>
      <c r="AD254" s="824"/>
      <c r="AE254" s="824"/>
      <c r="AF254" s="824"/>
      <c r="AG254" s="824"/>
      <c r="AH254" s="824"/>
      <c r="AI254" s="824"/>
      <c r="AJ254" s="824"/>
      <c r="AK254" s="824"/>
      <c r="AL254" s="824"/>
      <c r="AM254" s="824"/>
      <c r="AN254" s="824"/>
      <c r="AO254" s="824"/>
      <c r="AP254" s="824"/>
      <c r="AQ254" s="824"/>
      <c r="AR254" s="824"/>
      <c r="AS254" s="824"/>
      <c r="AT254" s="824"/>
      <c r="AU254" s="824"/>
      <c r="AV254" s="824"/>
    </row>
    <row r="255" spans="1:48" s="15" customFormat="1" x14ac:dyDescent="0.25">
      <c r="A255" s="1038"/>
      <c r="M255" s="16"/>
      <c r="T255" s="824"/>
      <c r="V255" s="1280"/>
      <c r="W255" s="1280"/>
      <c r="X255" s="1280"/>
      <c r="Y255" s="1280"/>
      <c r="Z255" s="1280"/>
      <c r="AA255" s="1280"/>
      <c r="AB255" s="1280"/>
      <c r="AC255" s="1280"/>
      <c r="AD255" s="824"/>
      <c r="AE255" s="824"/>
      <c r="AF255" s="824"/>
      <c r="AG255" s="824"/>
      <c r="AH255" s="824"/>
      <c r="AI255" s="824"/>
      <c r="AJ255" s="824"/>
      <c r="AK255" s="824"/>
      <c r="AL255" s="824"/>
      <c r="AM255" s="824"/>
      <c r="AN255" s="824"/>
      <c r="AO255" s="824"/>
      <c r="AP255" s="824"/>
      <c r="AQ255" s="824"/>
      <c r="AR255" s="824"/>
      <c r="AS255" s="824"/>
      <c r="AT255" s="824"/>
      <c r="AU255" s="824"/>
      <c r="AV255" s="824"/>
    </row>
    <row r="256" spans="1:48" s="15" customFormat="1" x14ac:dyDescent="0.25">
      <c r="A256" s="1038"/>
      <c r="M256" s="16"/>
      <c r="T256" s="824"/>
      <c r="V256" s="1280"/>
      <c r="W256" s="1280"/>
      <c r="X256" s="1280"/>
      <c r="Y256" s="1280"/>
      <c r="Z256" s="1280"/>
      <c r="AA256" s="1280"/>
      <c r="AB256" s="1280"/>
      <c r="AC256" s="1280"/>
      <c r="AD256" s="824"/>
      <c r="AE256" s="824"/>
      <c r="AF256" s="824"/>
      <c r="AG256" s="824"/>
      <c r="AH256" s="824"/>
      <c r="AI256" s="824"/>
      <c r="AJ256" s="824"/>
      <c r="AK256" s="824"/>
      <c r="AL256" s="824"/>
      <c r="AM256" s="824"/>
      <c r="AN256" s="824"/>
      <c r="AO256" s="824"/>
      <c r="AP256" s="824"/>
      <c r="AQ256" s="824"/>
      <c r="AR256" s="824"/>
      <c r="AS256" s="824"/>
      <c r="AT256" s="824"/>
      <c r="AU256" s="824"/>
      <c r="AV256" s="824"/>
    </row>
    <row r="257" spans="1:48" s="15" customFormat="1" x14ac:dyDescent="0.25">
      <c r="A257" s="1038"/>
      <c r="M257" s="16"/>
      <c r="T257" s="824"/>
      <c r="V257" s="1280"/>
      <c r="W257" s="1280"/>
      <c r="X257" s="1280"/>
      <c r="Y257" s="1280"/>
      <c r="Z257" s="1280"/>
      <c r="AA257" s="1280"/>
      <c r="AB257" s="1280"/>
      <c r="AC257" s="1280"/>
      <c r="AD257" s="824"/>
      <c r="AE257" s="824"/>
      <c r="AF257" s="824"/>
      <c r="AG257" s="824"/>
      <c r="AH257" s="824"/>
      <c r="AI257" s="824"/>
      <c r="AJ257" s="824"/>
      <c r="AK257" s="824"/>
      <c r="AL257" s="824"/>
      <c r="AM257" s="824"/>
      <c r="AN257" s="824"/>
      <c r="AO257" s="824"/>
      <c r="AP257" s="824"/>
      <c r="AQ257" s="824"/>
      <c r="AR257" s="824"/>
      <c r="AS257" s="824"/>
      <c r="AT257" s="824"/>
      <c r="AU257" s="824"/>
      <c r="AV257" s="824"/>
    </row>
    <row r="258" spans="1:48" s="15" customFormat="1" x14ac:dyDescent="0.25">
      <c r="A258" s="1038"/>
      <c r="M258" s="16"/>
      <c r="T258" s="824"/>
      <c r="V258" s="1280"/>
      <c r="W258" s="1280"/>
      <c r="X258" s="1280"/>
      <c r="Y258" s="1280"/>
      <c r="Z258" s="1280"/>
      <c r="AA258" s="1280"/>
      <c r="AB258" s="1280"/>
      <c r="AC258" s="1280"/>
      <c r="AD258" s="824"/>
      <c r="AE258" s="824"/>
      <c r="AF258" s="824"/>
      <c r="AG258" s="824"/>
      <c r="AH258" s="824"/>
      <c r="AI258" s="824"/>
      <c r="AJ258" s="824"/>
      <c r="AK258" s="824"/>
      <c r="AL258" s="824"/>
      <c r="AM258" s="824"/>
      <c r="AN258" s="824"/>
      <c r="AO258" s="824"/>
      <c r="AP258" s="824"/>
      <c r="AQ258" s="824"/>
      <c r="AR258" s="824"/>
      <c r="AS258" s="824"/>
      <c r="AT258" s="824"/>
      <c r="AU258" s="824"/>
      <c r="AV258" s="824"/>
    </row>
    <row r="259" spans="1:48" s="15" customFormat="1" x14ac:dyDescent="0.25">
      <c r="A259" s="1038"/>
      <c r="M259" s="16"/>
      <c r="T259" s="824"/>
      <c r="V259" s="1280"/>
      <c r="W259" s="1280"/>
      <c r="X259" s="1280"/>
      <c r="Y259" s="1280"/>
      <c r="Z259" s="1280"/>
      <c r="AA259" s="1280"/>
      <c r="AB259" s="1280"/>
      <c r="AC259" s="1280"/>
      <c r="AD259" s="824"/>
      <c r="AE259" s="824"/>
      <c r="AF259" s="824"/>
      <c r="AG259" s="824"/>
      <c r="AH259" s="824"/>
      <c r="AI259" s="824"/>
      <c r="AJ259" s="824"/>
      <c r="AK259" s="824"/>
      <c r="AL259" s="824"/>
      <c r="AM259" s="824"/>
      <c r="AN259" s="824"/>
      <c r="AO259" s="824"/>
      <c r="AP259" s="824"/>
      <c r="AQ259" s="824"/>
      <c r="AR259" s="824"/>
      <c r="AS259" s="824"/>
      <c r="AT259" s="824"/>
      <c r="AU259" s="824"/>
      <c r="AV259" s="824"/>
    </row>
    <row r="260" spans="1:48" s="15" customFormat="1" x14ac:dyDescent="0.25">
      <c r="A260" s="1038"/>
      <c r="M260" s="16"/>
      <c r="T260" s="824"/>
      <c r="V260" s="1280"/>
      <c r="W260" s="1280"/>
      <c r="X260" s="1280"/>
      <c r="Y260" s="1280"/>
      <c r="Z260" s="1280"/>
      <c r="AA260" s="1280"/>
      <c r="AB260" s="1280"/>
      <c r="AC260" s="1280"/>
      <c r="AD260" s="824"/>
      <c r="AE260" s="824"/>
      <c r="AF260" s="824"/>
      <c r="AG260" s="824"/>
      <c r="AH260" s="824"/>
      <c r="AI260" s="824"/>
      <c r="AJ260" s="824"/>
      <c r="AK260" s="824"/>
      <c r="AL260" s="824"/>
      <c r="AM260" s="824"/>
      <c r="AN260" s="824"/>
      <c r="AO260" s="824"/>
      <c r="AP260" s="824"/>
      <c r="AQ260" s="824"/>
      <c r="AR260" s="824"/>
      <c r="AS260" s="824"/>
      <c r="AT260" s="824"/>
      <c r="AU260" s="824"/>
      <c r="AV260" s="824"/>
    </row>
    <row r="261" spans="1:48" s="15" customFormat="1" x14ac:dyDescent="0.25">
      <c r="A261" s="1038"/>
      <c r="M261" s="16"/>
      <c r="T261" s="824"/>
      <c r="V261" s="1280"/>
      <c r="W261" s="1280"/>
      <c r="X261" s="1280"/>
      <c r="Y261" s="1280"/>
      <c r="Z261" s="1280"/>
      <c r="AA261" s="1280"/>
      <c r="AB261" s="1280"/>
      <c r="AC261" s="1280"/>
      <c r="AD261" s="824"/>
      <c r="AE261" s="824"/>
      <c r="AF261" s="824"/>
      <c r="AG261" s="824"/>
      <c r="AH261" s="824"/>
      <c r="AI261" s="824"/>
      <c r="AJ261" s="824"/>
      <c r="AK261" s="824"/>
      <c r="AL261" s="824"/>
      <c r="AM261" s="824"/>
      <c r="AN261" s="824"/>
      <c r="AO261" s="824"/>
      <c r="AP261" s="824"/>
      <c r="AQ261" s="824"/>
      <c r="AR261" s="824"/>
      <c r="AS261" s="824"/>
      <c r="AT261" s="824"/>
      <c r="AU261" s="824"/>
      <c r="AV261" s="824"/>
    </row>
    <row r="262" spans="1:48" s="15" customFormat="1" x14ac:dyDescent="0.25">
      <c r="A262" s="1038"/>
      <c r="M262" s="16"/>
      <c r="T262" s="824"/>
      <c r="V262" s="1280"/>
      <c r="W262" s="1280"/>
      <c r="X262" s="1280"/>
      <c r="Y262" s="1280"/>
      <c r="Z262" s="1280"/>
      <c r="AA262" s="1280"/>
      <c r="AB262" s="1280"/>
      <c r="AC262" s="1280"/>
      <c r="AD262" s="824"/>
      <c r="AE262" s="824"/>
      <c r="AF262" s="824"/>
      <c r="AG262" s="824"/>
      <c r="AH262" s="824"/>
      <c r="AI262" s="824"/>
      <c r="AJ262" s="824"/>
      <c r="AK262" s="824"/>
      <c r="AL262" s="824"/>
      <c r="AM262" s="824"/>
      <c r="AN262" s="824"/>
      <c r="AO262" s="824"/>
      <c r="AP262" s="824"/>
      <c r="AQ262" s="824"/>
      <c r="AR262" s="824"/>
      <c r="AS262" s="824"/>
      <c r="AT262" s="824"/>
      <c r="AU262" s="824"/>
      <c r="AV262" s="824"/>
    </row>
    <row r="263" spans="1:48" s="15" customFormat="1" x14ac:dyDescent="0.25">
      <c r="A263" s="1038"/>
      <c r="M263" s="16"/>
      <c r="T263" s="824"/>
      <c r="V263" s="1280"/>
      <c r="W263" s="1280"/>
      <c r="X263" s="1280"/>
      <c r="Y263" s="1280"/>
      <c r="Z263" s="1280"/>
      <c r="AA263" s="1280"/>
      <c r="AB263" s="1280"/>
      <c r="AC263" s="1280"/>
      <c r="AD263" s="824"/>
      <c r="AE263" s="824"/>
      <c r="AF263" s="824"/>
      <c r="AG263" s="824"/>
      <c r="AH263" s="824"/>
      <c r="AI263" s="824"/>
      <c r="AJ263" s="824"/>
      <c r="AK263" s="824"/>
      <c r="AL263" s="824"/>
      <c r="AM263" s="824"/>
      <c r="AN263" s="824"/>
      <c r="AO263" s="824"/>
      <c r="AP263" s="824"/>
      <c r="AQ263" s="824"/>
      <c r="AR263" s="824"/>
      <c r="AS263" s="824"/>
      <c r="AT263" s="824"/>
      <c r="AU263" s="824"/>
      <c r="AV263" s="824"/>
    </row>
    <row r="264" spans="1:48" s="15" customFormat="1" x14ac:dyDescent="0.25">
      <c r="A264" s="1038"/>
      <c r="M264" s="16"/>
      <c r="T264" s="824"/>
      <c r="V264" s="1280"/>
      <c r="W264" s="1280"/>
      <c r="X264" s="1280"/>
      <c r="Y264" s="1280"/>
      <c r="Z264" s="1280"/>
      <c r="AA264" s="1280"/>
      <c r="AB264" s="1280"/>
      <c r="AC264" s="1280"/>
      <c r="AD264" s="824"/>
      <c r="AE264" s="824"/>
      <c r="AF264" s="824"/>
      <c r="AG264" s="824"/>
      <c r="AH264" s="824"/>
      <c r="AI264" s="824"/>
      <c r="AJ264" s="824"/>
      <c r="AK264" s="824"/>
      <c r="AL264" s="824"/>
      <c r="AM264" s="824"/>
      <c r="AN264" s="824"/>
      <c r="AO264" s="824"/>
      <c r="AP264" s="824"/>
      <c r="AQ264" s="824"/>
      <c r="AR264" s="824"/>
      <c r="AS264" s="824"/>
      <c r="AT264" s="824"/>
      <c r="AU264" s="824"/>
      <c r="AV264" s="824"/>
    </row>
    <row r="265" spans="1:48" s="15" customFormat="1" x14ac:dyDescent="0.25">
      <c r="A265" s="1038"/>
      <c r="M265" s="16"/>
      <c r="T265" s="824"/>
      <c r="V265" s="1280"/>
      <c r="W265" s="1280"/>
      <c r="X265" s="1280"/>
      <c r="Y265" s="1280"/>
      <c r="Z265" s="1280"/>
      <c r="AA265" s="1280"/>
      <c r="AB265" s="1280"/>
      <c r="AC265" s="1280"/>
      <c r="AD265" s="824"/>
      <c r="AE265" s="824"/>
      <c r="AF265" s="824"/>
      <c r="AG265" s="824"/>
      <c r="AH265" s="824"/>
      <c r="AI265" s="824"/>
      <c r="AJ265" s="824"/>
      <c r="AK265" s="824"/>
      <c r="AL265" s="824"/>
      <c r="AM265" s="824"/>
      <c r="AN265" s="824"/>
      <c r="AO265" s="824"/>
      <c r="AP265" s="824"/>
      <c r="AQ265" s="824"/>
      <c r="AR265" s="824"/>
      <c r="AS265" s="824"/>
      <c r="AT265" s="824"/>
      <c r="AU265" s="824"/>
      <c r="AV265" s="824"/>
    </row>
    <row r="266" spans="1:48" s="15" customFormat="1" x14ac:dyDescent="0.25">
      <c r="A266" s="1038"/>
      <c r="M266" s="16"/>
      <c r="T266" s="824"/>
      <c r="V266" s="1280"/>
      <c r="W266" s="1280"/>
      <c r="X266" s="1280"/>
      <c r="Y266" s="1280"/>
      <c r="Z266" s="1280"/>
      <c r="AA266" s="1280"/>
      <c r="AB266" s="1280"/>
      <c r="AC266" s="1280"/>
      <c r="AD266" s="824"/>
      <c r="AE266" s="824"/>
      <c r="AF266" s="824"/>
      <c r="AG266" s="824"/>
      <c r="AH266" s="824"/>
      <c r="AI266" s="824"/>
      <c r="AJ266" s="824"/>
      <c r="AK266" s="824"/>
      <c r="AL266" s="824"/>
      <c r="AM266" s="824"/>
      <c r="AN266" s="824"/>
      <c r="AO266" s="824"/>
      <c r="AP266" s="824"/>
      <c r="AQ266" s="824"/>
      <c r="AR266" s="824"/>
      <c r="AS266" s="824"/>
      <c r="AT266" s="824"/>
      <c r="AU266" s="824"/>
      <c r="AV266" s="824"/>
    </row>
    <row r="267" spans="1:48" s="15" customFormat="1" x14ac:dyDescent="0.25">
      <c r="A267" s="1038"/>
      <c r="M267" s="16"/>
      <c r="T267" s="824"/>
      <c r="V267" s="1280"/>
      <c r="W267" s="1280"/>
      <c r="X267" s="1280"/>
      <c r="Y267" s="1280"/>
      <c r="Z267" s="1280"/>
      <c r="AA267" s="1280"/>
      <c r="AB267" s="1280"/>
      <c r="AC267" s="1280"/>
      <c r="AD267" s="824"/>
      <c r="AE267" s="824"/>
      <c r="AF267" s="824"/>
      <c r="AG267" s="824"/>
      <c r="AH267" s="824"/>
      <c r="AI267" s="824"/>
      <c r="AJ267" s="824"/>
      <c r="AK267" s="824"/>
      <c r="AL267" s="824"/>
      <c r="AM267" s="824"/>
      <c r="AN267" s="824"/>
      <c r="AO267" s="824"/>
      <c r="AP267" s="824"/>
      <c r="AQ267" s="824"/>
      <c r="AR267" s="824"/>
      <c r="AS267" s="824"/>
      <c r="AT267" s="824"/>
      <c r="AU267" s="824"/>
      <c r="AV267" s="824"/>
    </row>
    <row r="268" spans="1:48" s="15" customFormat="1" x14ac:dyDescent="0.25">
      <c r="A268" s="1038"/>
      <c r="M268" s="16"/>
      <c r="T268" s="824"/>
      <c r="V268" s="1280"/>
      <c r="W268" s="1280"/>
      <c r="X268" s="1280"/>
      <c r="Y268" s="1280"/>
      <c r="Z268" s="1280"/>
      <c r="AA268" s="1280"/>
      <c r="AB268" s="1280"/>
      <c r="AC268" s="1280"/>
      <c r="AD268" s="824"/>
      <c r="AE268" s="824"/>
      <c r="AF268" s="824"/>
      <c r="AG268" s="824"/>
      <c r="AH268" s="824"/>
      <c r="AI268" s="824"/>
      <c r="AJ268" s="824"/>
      <c r="AK268" s="824"/>
      <c r="AL268" s="824"/>
      <c r="AM268" s="824"/>
      <c r="AN268" s="824"/>
      <c r="AO268" s="824"/>
      <c r="AP268" s="824"/>
      <c r="AQ268" s="824"/>
      <c r="AR268" s="824"/>
      <c r="AS268" s="824"/>
      <c r="AT268" s="824"/>
      <c r="AU268" s="824"/>
      <c r="AV268" s="824"/>
    </row>
    <row r="269" spans="1:48" s="15" customFormat="1" x14ac:dyDescent="0.25">
      <c r="A269" s="1038"/>
      <c r="M269" s="16"/>
      <c r="T269" s="824"/>
      <c r="V269" s="1280"/>
      <c r="W269" s="1280"/>
      <c r="X269" s="1280"/>
      <c r="Y269" s="1280"/>
      <c r="Z269" s="1280"/>
      <c r="AA269" s="1280"/>
      <c r="AB269" s="1280"/>
      <c r="AC269" s="1280"/>
      <c r="AD269" s="824"/>
      <c r="AE269" s="824"/>
      <c r="AF269" s="824"/>
      <c r="AG269" s="824"/>
      <c r="AH269" s="824"/>
      <c r="AI269" s="824"/>
      <c r="AJ269" s="824"/>
      <c r="AK269" s="824"/>
      <c r="AL269" s="824"/>
      <c r="AM269" s="824"/>
      <c r="AN269" s="824"/>
      <c r="AO269" s="824"/>
      <c r="AP269" s="824"/>
      <c r="AQ269" s="824"/>
      <c r="AR269" s="824"/>
      <c r="AS269" s="824"/>
      <c r="AT269" s="824"/>
      <c r="AU269" s="824"/>
      <c r="AV269" s="824"/>
    </row>
    <row r="270" spans="1:48" s="15" customFormat="1" x14ac:dyDescent="0.25">
      <c r="A270" s="1038"/>
      <c r="M270" s="16"/>
      <c r="T270" s="824"/>
      <c r="V270" s="1280"/>
      <c r="W270" s="1280"/>
      <c r="X270" s="1280"/>
      <c r="Y270" s="1280"/>
      <c r="Z270" s="1280"/>
      <c r="AA270" s="1280"/>
      <c r="AB270" s="1280"/>
      <c r="AC270" s="1280"/>
      <c r="AD270" s="824"/>
      <c r="AE270" s="824"/>
      <c r="AF270" s="824"/>
      <c r="AG270" s="824"/>
      <c r="AH270" s="824"/>
      <c r="AI270" s="824"/>
      <c r="AJ270" s="824"/>
      <c r="AK270" s="824"/>
      <c r="AL270" s="824"/>
      <c r="AM270" s="824"/>
      <c r="AN270" s="824"/>
      <c r="AO270" s="824"/>
      <c r="AP270" s="824"/>
      <c r="AQ270" s="824"/>
      <c r="AR270" s="824"/>
      <c r="AS270" s="824"/>
      <c r="AT270" s="824"/>
      <c r="AU270" s="824"/>
      <c r="AV270" s="824"/>
    </row>
    <row r="271" spans="1:48" s="15" customFormat="1" x14ac:dyDescent="0.25">
      <c r="A271" s="1038"/>
      <c r="M271" s="16"/>
      <c r="T271" s="824"/>
      <c r="V271" s="1280"/>
      <c r="W271" s="1280"/>
      <c r="X271" s="1280"/>
      <c r="Y271" s="1280"/>
      <c r="Z271" s="1280"/>
      <c r="AA271" s="1280"/>
      <c r="AB271" s="1280"/>
      <c r="AC271" s="1280"/>
      <c r="AD271" s="824"/>
      <c r="AE271" s="824"/>
      <c r="AF271" s="824"/>
      <c r="AG271" s="824"/>
      <c r="AH271" s="824"/>
      <c r="AI271" s="824"/>
      <c r="AJ271" s="824"/>
      <c r="AK271" s="824"/>
      <c r="AL271" s="824"/>
      <c r="AM271" s="824"/>
      <c r="AN271" s="824"/>
      <c r="AO271" s="824"/>
      <c r="AP271" s="824"/>
      <c r="AQ271" s="824"/>
      <c r="AR271" s="824"/>
      <c r="AS271" s="824"/>
      <c r="AT271" s="824"/>
      <c r="AU271" s="824"/>
      <c r="AV271" s="824"/>
    </row>
    <row r="272" spans="1:48" s="15" customFormat="1" x14ac:dyDescent="0.25">
      <c r="A272" s="1038"/>
      <c r="M272" s="16"/>
      <c r="T272" s="824"/>
      <c r="V272" s="1280"/>
      <c r="W272" s="1280"/>
      <c r="X272" s="1280"/>
      <c r="Y272" s="1280"/>
      <c r="Z272" s="1280"/>
      <c r="AA272" s="1280"/>
      <c r="AB272" s="1280"/>
      <c r="AC272" s="1280"/>
      <c r="AD272" s="824"/>
      <c r="AE272" s="824"/>
      <c r="AF272" s="824"/>
      <c r="AG272" s="824"/>
      <c r="AH272" s="824"/>
      <c r="AI272" s="824"/>
      <c r="AJ272" s="824"/>
      <c r="AK272" s="824"/>
      <c r="AL272" s="824"/>
      <c r="AM272" s="824"/>
      <c r="AN272" s="824"/>
      <c r="AO272" s="824"/>
      <c r="AP272" s="824"/>
      <c r="AQ272" s="824"/>
      <c r="AR272" s="824"/>
      <c r="AS272" s="824"/>
      <c r="AT272" s="824"/>
      <c r="AU272" s="824"/>
      <c r="AV272" s="824"/>
    </row>
    <row r="273" spans="1:48" s="15" customFormat="1" x14ac:dyDescent="0.25">
      <c r="A273" s="1038"/>
      <c r="M273" s="16"/>
      <c r="T273" s="824"/>
      <c r="V273" s="1280"/>
      <c r="W273" s="1280"/>
      <c r="X273" s="1280"/>
      <c r="Y273" s="1280"/>
      <c r="Z273" s="1280"/>
      <c r="AA273" s="1280"/>
      <c r="AB273" s="1280"/>
      <c r="AC273" s="1280"/>
      <c r="AD273" s="824"/>
      <c r="AE273" s="824"/>
      <c r="AF273" s="824"/>
      <c r="AG273" s="824"/>
      <c r="AH273" s="824"/>
      <c r="AI273" s="824"/>
      <c r="AJ273" s="824"/>
      <c r="AK273" s="824"/>
      <c r="AL273" s="824"/>
      <c r="AM273" s="824"/>
      <c r="AN273" s="824"/>
      <c r="AO273" s="824"/>
      <c r="AP273" s="824"/>
      <c r="AQ273" s="824"/>
      <c r="AR273" s="824"/>
      <c r="AS273" s="824"/>
      <c r="AT273" s="824"/>
      <c r="AU273" s="824"/>
      <c r="AV273" s="824"/>
    </row>
    <row r="274" spans="1:48" s="15" customFormat="1" x14ac:dyDescent="0.25">
      <c r="A274" s="1038"/>
      <c r="M274" s="16"/>
      <c r="T274" s="824"/>
      <c r="V274" s="1280"/>
      <c r="W274" s="1280"/>
      <c r="X274" s="1280"/>
      <c r="Y274" s="1280"/>
      <c r="Z274" s="1280"/>
      <c r="AA274" s="1280"/>
      <c r="AB274" s="1280"/>
      <c r="AC274" s="1280"/>
      <c r="AD274" s="824"/>
      <c r="AE274" s="824"/>
      <c r="AF274" s="824"/>
      <c r="AG274" s="824"/>
      <c r="AH274" s="824"/>
      <c r="AI274" s="824"/>
      <c r="AJ274" s="824"/>
      <c r="AK274" s="824"/>
      <c r="AL274" s="824"/>
      <c r="AM274" s="824"/>
      <c r="AN274" s="824"/>
      <c r="AO274" s="824"/>
      <c r="AP274" s="824"/>
      <c r="AQ274" s="824"/>
      <c r="AR274" s="824"/>
      <c r="AS274" s="824"/>
      <c r="AT274" s="824"/>
      <c r="AU274" s="824"/>
      <c r="AV274" s="824"/>
    </row>
    <row r="275" spans="1:48" s="15" customFormat="1" x14ac:dyDescent="0.25">
      <c r="A275" s="1038"/>
      <c r="M275" s="16"/>
      <c r="T275" s="824"/>
      <c r="V275" s="1280"/>
      <c r="W275" s="1280"/>
      <c r="X275" s="1280"/>
      <c r="Y275" s="1280"/>
      <c r="Z275" s="1280"/>
      <c r="AA275" s="1280"/>
      <c r="AB275" s="1280"/>
      <c r="AC275" s="1280"/>
      <c r="AD275" s="824"/>
      <c r="AE275" s="824"/>
      <c r="AF275" s="824"/>
      <c r="AG275" s="824"/>
      <c r="AH275" s="824"/>
      <c r="AI275" s="824"/>
      <c r="AJ275" s="824"/>
      <c r="AK275" s="824"/>
      <c r="AL275" s="824"/>
      <c r="AM275" s="824"/>
      <c r="AN275" s="824"/>
      <c r="AO275" s="824"/>
      <c r="AP275" s="824"/>
      <c r="AQ275" s="824"/>
      <c r="AR275" s="824"/>
      <c r="AS275" s="824"/>
      <c r="AT275" s="824"/>
      <c r="AU275" s="824"/>
      <c r="AV275" s="824"/>
    </row>
    <row r="276" spans="1:48" s="15" customFormat="1" x14ac:dyDescent="0.25">
      <c r="A276" s="1038"/>
      <c r="M276" s="16"/>
      <c r="T276" s="824"/>
      <c r="V276" s="1280"/>
      <c r="W276" s="1280"/>
      <c r="X276" s="1280"/>
      <c r="Y276" s="1280"/>
      <c r="Z276" s="1280"/>
      <c r="AA276" s="1280"/>
      <c r="AB276" s="1280"/>
      <c r="AC276" s="1280"/>
      <c r="AD276" s="824"/>
      <c r="AE276" s="824"/>
      <c r="AF276" s="824"/>
      <c r="AG276" s="824"/>
      <c r="AH276" s="824"/>
      <c r="AI276" s="824"/>
      <c r="AJ276" s="824"/>
      <c r="AK276" s="824"/>
      <c r="AL276" s="824"/>
      <c r="AM276" s="824"/>
      <c r="AN276" s="824"/>
      <c r="AO276" s="824"/>
      <c r="AP276" s="824"/>
      <c r="AQ276" s="824"/>
      <c r="AR276" s="824"/>
      <c r="AS276" s="824"/>
      <c r="AT276" s="824"/>
      <c r="AU276" s="824"/>
      <c r="AV276" s="824"/>
    </row>
    <row r="277" spans="1:48" s="15" customFormat="1" x14ac:dyDescent="0.25">
      <c r="A277" s="1038"/>
      <c r="M277" s="16"/>
      <c r="T277" s="824"/>
      <c r="V277" s="1280"/>
      <c r="W277" s="1280"/>
      <c r="X277" s="1280"/>
      <c r="Y277" s="1280"/>
      <c r="Z277" s="1280"/>
      <c r="AA277" s="1280"/>
      <c r="AB277" s="1280"/>
      <c r="AC277" s="1280"/>
      <c r="AD277" s="824"/>
      <c r="AE277" s="824"/>
      <c r="AF277" s="824"/>
      <c r="AG277" s="824"/>
      <c r="AH277" s="824"/>
      <c r="AI277" s="824"/>
      <c r="AJ277" s="824"/>
      <c r="AK277" s="824"/>
      <c r="AL277" s="824"/>
      <c r="AM277" s="824"/>
      <c r="AN277" s="824"/>
      <c r="AO277" s="824"/>
      <c r="AP277" s="824"/>
      <c r="AQ277" s="824"/>
      <c r="AR277" s="824"/>
      <c r="AS277" s="824"/>
      <c r="AT277" s="824"/>
      <c r="AU277" s="824"/>
      <c r="AV277" s="824"/>
    </row>
    <row r="278" spans="1:48" s="15" customFormat="1" x14ac:dyDescent="0.25">
      <c r="A278" s="1038"/>
      <c r="M278" s="16"/>
      <c r="T278" s="824"/>
      <c r="V278" s="1280"/>
      <c r="W278" s="1280"/>
      <c r="X278" s="1280"/>
      <c r="Y278" s="1280"/>
      <c r="Z278" s="1280"/>
      <c r="AA278" s="1280"/>
      <c r="AB278" s="1280"/>
      <c r="AC278" s="1280"/>
      <c r="AD278" s="824"/>
      <c r="AE278" s="824"/>
      <c r="AF278" s="824"/>
      <c r="AG278" s="824"/>
      <c r="AH278" s="824"/>
      <c r="AI278" s="824"/>
      <c r="AJ278" s="824"/>
      <c r="AK278" s="824"/>
      <c r="AL278" s="824"/>
      <c r="AM278" s="824"/>
      <c r="AN278" s="824"/>
      <c r="AO278" s="824"/>
      <c r="AP278" s="824"/>
      <c r="AQ278" s="824"/>
      <c r="AR278" s="824"/>
      <c r="AS278" s="824"/>
      <c r="AT278" s="824"/>
      <c r="AU278" s="824"/>
      <c r="AV278" s="824"/>
    </row>
    <row r="279" spans="1:48" s="15" customFormat="1" x14ac:dyDescent="0.25">
      <c r="A279" s="1038"/>
      <c r="M279" s="16"/>
      <c r="T279" s="824"/>
      <c r="V279" s="1280"/>
      <c r="W279" s="1280"/>
      <c r="X279" s="1280"/>
      <c r="Y279" s="1280"/>
      <c r="Z279" s="1280"/>
      <c r="AA279" s="1280"/>
      <c r="AB279" s="1280"/>
      <c r="AC279" s="1280"/>
      <c r="AD279" s="824"/>
      <c r="AE279" s="824"/>
      <c r="AF279" s="824"/>
      <c r="AG279" s="824"/>
      <c r="AH279" s="824"/>
      <c r="AI279" s="824"/>
      <c r="AJ279" s="824"/>
      <c r="AK279" s="824"/>
      <c r="AL279" s="824"/>
      <c r="AM279" s="824"/>
      <c r="AN279" s="824"/>
      <c r="AO279" s="824"/>
      <c r="AP279" s="824"/>
      <c r="AQ279" s="824"/>
      <c r="AR279" s="824"/>
      <c r="AS279" s="824"/>
      <c r="AT279" s="824"/>
      <c r="AU279" s="824"/>
      <c r="AV279" s="824"/>
    </row>
    <row r="280" spans="1:48" s="15" customFormat="1" x14ac:dyDescent="0.25">
      <c r="A280" s="1038"/>
      <c r="M280" s="16"/>
      <c r="T280" s="824"/>
      <c r="V280" s="1280"/>
      <c r="W280" s="1280"/>
      <c r="X280" s="1280"/>
      <c r="Y280" s="1280"/>
      <c r="Z280" s="1280"/>
      <c r="AA280" s="1280"/>
      <c r="AB280" s="1280"/>
      <c r="AC280" s="1280"/>
      <c r="AD280" s="824"/>
      <c r="AE280" s="824"/>
      <c r="AF280" s="824"/>
      <c r="AG280" s="824"/>
      <c r="AH280" s="824"/>
      <c r="AI280" s="824"/>
      <c r="AJ280" s="824"/>
      <c r="AK280" s="824"/>
      <c r="AL280" s="824"/>
      <c r="AM280" s="824"/>
      <c r="AN280" s="824"/>
      <c r="AO280" s="824"/>
      <c r="AP280" s="824"/>
      <c r="AQ280" s="824"/>
      <c r="AR280" s="824"/>
      <c r="AS280" s="824"/>
      <c r="AT280" s="824"/>
      <c r="AU280" s="824"/>
      <c r="AV280" s="824"/>
    </row>
    <row r="281" spans="1:48" s="15" customFormat="1" x14ac:dyDescent="0.25">
      <c r="A281" s="1038"/>
      <c r="M281" s="16"/>
      <c r="T281" s="824"/>
      <c r="V281" s="1280"/>
      <c r="W281" s="1280"/>
      <c r="X281" s="1280"/>
      <c r="Y281" s="1280"/>
      <c r="Z281" s="1280"/>
      <c r="AA281" s="1280"/>
      <c r="AB281" s="1280"/>
      <c r="AC281" s="1280"/>
      <c r="AD281" s="824"/>
      <c r="AE281" s="824"/>
      <c r="AF281" s="824"/>
      <c r="AG281" s="824"/>
      <c r="AH281" s="824"/>
      <c r="AI281" s="824"/>
      <c r="AJ281" s="824"/>
      <c r="AK281" s="824"/>
      <c r="AL281" s="824"/>
      <c r="AM281" s="824"/>
      <c r="AN281" s="824"/>
      <c r="AO281" s="824"/>
      <c r="AP281" s="824"/>
      <c r="AQ281" s="824"/>
      <c r="AR281" s="824"/>
      <c r="AS281" s="824"/>
      <c r="AT281" s="824"/>
      <c r="AU281" s="824"/>
      <c r="AV281" s="824"/>
    </row>
    <row r="282" spans="1:48" s="15" customFormat="1" x14ac:dyDescent="0.25">
      <c r="A282" s="1038"/>
      <c r="M282" s="16"/>
      <c r="T282" s="824"/>
      <c r="V282" s="1280"/>
      <c r="W282" s="1280"/>
      <c r="X282" s="1280"/>
      <c r="Y282" s="1280"/>
      <c r="Z282" s="1280"/>
      <c r="AA282" s="1280"/>
      <c r="AB282" s="1280"/>
      <c r="AC282" s="1280"/>
      <c r="AD282" s="824"/>
      <c r="AE282" s="824"/>
      <c r="AF282" s="824"/>
      <c r="AG282" s="824"/>
      <c r="AH282" s="824"/>
      <c r="AI282" s="824"/>
      <c r="AJ282" s="824"/>
      <c r="AK282" s="824"/>
      <c r="AL282" s="824"/>
      <c r="AM282" s="824"/>
      <c r="AN282" s="824"/>
      <c r="AO282" s="824"/>
      <c r="AP282" s="824"/>
      <c r="AQ282" s="824"/>
      <c r="AR282" s="824"/>
      <c r="AS282" s="824"/>
      <c r="AT282" s="824"/>
      <c r="AU282" s="824"/>
      <c r="AV282" s="824"/>
    </row>
    <row r="283" spans="1:48" s="15" customFormat="1" x14ac:dyDescent="0.25">
      <c r="A283" s="1038"/>
      <c r="M283" s="16"/>
      <c r="T283" s="824"/>
      <c r="V283" s="1280"/>
      <c r="W283" s="1280"/>
      <c r="X283" s="1280"/>
      <c r="Y283" s="1280"/>
      <c r="Z283" s="1280"/>
      <c r="AA283" s="1280"/>
      <c r="AB283" s="1280"/>
      <c r="AC283" s="1280"/>
      <c r="AD283" s="824"/>
      <c r="AE283" s="824"/>
      <c r="AF283" s="824"/>
      <c r="AG283" s="824"/>
      <c r="AH283" s="824"/>
      <c r="AI283" s="824"/>
      <c r="AJ283" s="824"/>
      <c r="AK283" s="824"/>
      <c r="AL283" s="824"/>
      <c r="AM283" s="824"/>
      <c r="AN283" s="824"/>
      <c r="AO283" s="824"/>
      <c r="AP283" s="824"/>
      <c r="AQ283" s="824"/>
      <c r="AR283" s="824"/>
      <c r="AS283" s="824"/>
      <c r="AT283" s="824"/>
      <c r="AU283" s="824"/>
      <c r="AV283" s="824"/>
    </row>
    <row r="284" spans="1:48" s="15" customFormat="1" x14ac:dyDescent="0.25">
      <c r="A284" s="1038"/>
      <c r="M284" s="16"/>
      <c r="T284" s="824"/>
      <c r="V284" s="1280"/>
      <c r="W284" s="1280"/>
      <c r="X284" s="1280"/>
      <c r="Y284" s="1280"/>
      <c r="Z284" s="1280"/>
      <c r="AA284" s="1280"/>
      <c r="AB284" s="1280"/>
      <c r="AC284" s="1280"/>
      <c r="AD284" s="824"/>
      <c r="AE284" s="824"/>
      <c r="AF284" s="824"/>
      <c r="AG284" s="824"/>
      <c r="AH284" s="824"/>
      <c r="AI284" s="824"/>
      <c r="AJ284" s="824"/>
      <c r="AK284" s="824"/>
      <c r="AL284" s="824"/>
      <c r="AM284" s="824"/>
      <c r="AN284" s="824"/>
      <c r="AO284" s="824"/>
      <c r="AP284" s="824"/>
      <c r="AQ284" s="824"/>
      <c r="AR284" s="824"/>
      <c r="AS284" s="824"/>
      <c r="AT284" s="824"/>
      <c r="AU284" s="824"/>
      <c r="AV284" s="824"/>
    </row>
    <row r="285" spans="1:48" s="15" customFormat="1" x14ac:dyDescent="0.25">
      <c r="A285" s="1038"/>
      <c r="M285" s="16"/>
      <c r="T285" s="824"/>
      <c r="V285" s="1280"/>
      <c r="W285" s="1280"/>
      <c r="X285" s="1280"/>
      <c r="Y285" s="1280"/>
      <c r="Z285" s="1280"/>
      <c r="AA285" s="1280"/>
      <c r="AB285" s="1280"/>
      <c r="AC285" s="1280"/>
      <c r="AD285" s="824"/>
      <c r="AE285" s="824"/>
      <c r="AF285" s="824"/>
      <c r="AG285" s="824"/>
      <c r="AH285" s="824"/>
      <c r="AI285" s="824"/>
      <c r="AJ285" s="824"/>
      <c r="AK285" s="824"/>
      <c r="AL285" s="824"/>
      <c r="AM285" s="824"/>
      <c r="AN285" s="824"/>
      <c r="AO285" s="824"/>
      <c r="AP285" s="824"/>
      <c r="AQ285" s="824"/>
      <c r="AR285" s="824"/>
      <c r="AS285" s="824"/>
      <c r="AT285" s="824"/>
      <c r="AU285" s="824"/>
      <c r="AV285" s="824"/>
    </row>
    <row r="286" spans="1:48" s="15" customFormat="1" x14ac:dyDescent="0.25">
      <c r="A286" s="1038"/>
      <c r="M286" s="16"/>
      <c r="T286" s="824"/>
      <c r="V286" s="1280"/>
      <c r="W286" s="1280"/>
      <c r="X286" s="1280"/>
      <c r="Y286" s="1280"/>
      <c r="Z286" s="1280"/>
      <c r="AA286" s="1280"/>
      <c r="AB286" s="1280"/>
      <c r="AC286" s="1280"/>
      <c r="AD286" s="824"/>
      <c r="AE286" s="824"/>
      <c r="AF286" s="824"/>
      <c r="AG286" s="824"/>
      <c r="AH286" s="824"/>
      <c r="AI286" s="824"/>
      <c r="AJ286" s="824"/>
      <c r="AK286" s="824"/>
      <c r="AL286" s="824"/>
      <c r="AM286" s="824"/>
      <c r="AN286" s="824"/>
      <c r="AO286" s="824"/>
      <c r="AP286" s="824"/>
      <c r="AQ286" s="824"/>
      <c r="AR286" s="824"/>
      <c r="AS286" s="824"/>
      <c r="AT286" s="824"/>
      <c r="AU286" s="824"/>
      <c r="AV286" s="824"/>
    </row>
    <row r="287" spans="1:48" s="15" customFormat="1" x14ac:dyDescent="0.25">
      <c r="A287" s="1038"/>
      <c r="M287" s="16"/>
      <c r="T287" s="824"/>
      <c r="V287" s="1280"/>
      <c r="W287" s="1280"/>
      <c r="X287" s="1280"/>
      <c r="Y287" s="1280"/>
      <c r="Z287" s="1280"/>
      <c r="AA287" s="1280"/>
      <c r="AB287" s="1280"/>
      <c r="AC287" s="1280"/>
      <c r="AD287" s="824"/>
      <c r="AE287" s="824"/>
      <c r="AF287" s="824"/>
      <c r="AG287" s="824"/>
      <c r="AH287" s="824"/>
      <c r="AI287" s="824"/>
      <c r="AJ287" s="824"/>
      <c r="AK287" s="824"/>
      <c r="AL287" s="824"/>
      <c r="AM287" s="824"/>
      <c r="AN287" s="824"/>
      <c r="AO287" s="824"/>
      <c r="AP287" s="824"/>
      <c r="AQ287" s="824"/>
      <c r="AR287" s="824"/>
      <c r="AS287" s="824"/>
      <c r="AT287" s="824"/>
      <c r="AU287" s="824"/>
      <c r="AV287" s="824"/>
    </row>
    <row r="288" spans="1:48" s="15" customFormat="1" x14ac:dyDescent="0.25">
      <c r="A288" s="1038"/>
      <c r="M288" s="16"/>
      <c r="T288" s="824"/>
      <c r="V288" s="1280"/>
      <c r="W288" s="1280"/>
      <c r="X288" s="1280"/>
      <c r="Y288" s="1280"/>
      <c r="Z288" s="1280"/>
      <c r="AA288" s="1280"/>
      <c r="AB288" s="1280"/>
      <c r="AC288" s="1280"/>
      <c r="AD288" s="824"/>
      <c r="AE288" s="824"/>
      <c r="AF288" s="824"/>
      <c r="AG288" s="824"/>
      <c r="AH288" s="824"/>
      <c r="AI288" s="824"/>
      <c r="AJ288" s="824"/>
      <c r="AK288" s="824"/>
      <c r="AL288" s="824"/>
      <c r="AM288" s="824"/>
      <c r="AN288" s="824"/>
      <c r="AO288" s="824"/>
      <c r="AP288" s="824"/>
      <c r="AQ288" s="824"/>
      <c r="AR288" s="824"/>
      <c r="AS288" s="824"/>
      <c r="AT288" s="824"/>
      <c r="AU288" s="824"/>
      <c r="AV288" s="824"/>
    </row>
    <row r="289" spans="1:48" s="15" customFormat="1" x14ac:dyDescent="0.25">
      <c r="A289" s="1038"/>
      <c r="M289" s="16"/>
      <c r="T289" s="824"/>
      <c r="V289" s="1280"/>
      <c r="W289" s="1280"/>
      <c r="X289" s="1280"/>
      <c r="Y289" s="1280"/>
      <c r="Z289" s="1280"/>
      <c r="AA289" s="1280"/>
      <c r="AB289" s="1280"/>
      <c r="AC289" s="1280"/>
      <c r="AD289" s="824"/>
      <c r="AE289" s="824"/>
      <c r="AF289" s="824"/>
      <c r="AG289" s="824"/>
      <c r="AH289" s="824"/>
      <c r="AI289" s="824"/>
      <c r="AJ289" s="824"/>
      <c r="AK289" s="824"/>
      <c r="AL289" s="824"/>
      <c r="AM289" s="824"/>
      <c r="AN289" s="824"/>
      <c r="AO289" s="824"/>
      <c r="AP289" s="824"/>
      <c r="AQ289" s="824"/>
      <c r="AR289" s="824"/>
      <c r="AS289" s="824"/>
      <c r="AT289" s="824"/>
      <c r="AU289" s="824"/>
      <c r="AV289" s="824"/>
    </row>
    <row r="290" spans="1:48" s="15" customFormat="1" x14ac:dyDescent="0.25">
      <c r="A290" s="1038"/>
      <c r="M290" s="16"/>
      <c r="T290" s="824"/>
      <c r="V290" s="1280"/>
      <c r="W290" s="1280"/>
      <c r="X290" s="1280"/>
      <c r="Y290" s="1280"/>
      <c r="Z290" s="1280"/>
      <c r="AA290" s="1280"/>
      <c r="AB290" s="1280"/>
      <c r="AC290" s="1280"/>
      <c r="AD290" s="824"/>
      <c r="AE290" s="824"/>
      <c r="AF290" s="824"/>
      <c r="AG290" s="824"/>
      <c r="AH290" s="824"/>
      <c r="AI290" s="824"/>
      <c r="AJ290" s="824"/>
      <c r="AK290" s="824"/>
      <c r="AL290" s="824"/>
      <c r="AM290" s="824"/>
      <c r="AN290" s="824"/>
      <c r="AO290" s="824"/>
      <c r="AP290" s="824"/>
      <c r="AQ290" s="824"/>
      <c r="AR290" s="824"/>
      <c r="AS290" s="824"/>
      <c r="AT290" s="824"/>
      <c r="AU290" s="824"/>
      <c r="AV290" s="824"/>
    </row>
    <row r="291" spans="1:48" s="15" customFormat="1" x14ac:dyDescent="0.25">
      <c r="A291" s="1038"/>
      <c r="M291" s="16"/>
      <c r="T291" s="824"/>
      <c r="V291" s="1280"/>
      <c r="W291" s="1280"/>
      <c r="X291" s="1280"/>
      <c r="Y291" s="1280"/>
      <c r="Z291" s="1280"/>
      <c r="AA291" s="1280"/>
      <c r="AB291" s="1280"/>
      <c r="AC291" s="1280"/>
      <c r="AD291" s="824"/>
      <c r="AE291" s="824"/>
      <c r="AF291" s="824"/>
      <c r="AG291" s="824"/>
      <c r="AH291" s="824"/>
      <c r="AI291" s="824"/>
      <c r="AJ291" s="824"/>
      <c r="AK291" s="824"/>
      <c r="AL291" s="824"/>
      <c r="AM291" s="824"/>
      <c r="AN291" s="824"/>
      <c r="AO291" s="824"/>
      <c r="AP291" s="824"/>
      <c r="AQ291" s="824"/>
      <c r="AR291" s="824"/>
      <c r="AS291" s="824"/>
      <c r="AT291" s="824"/>
      <c r="AU291" s="824"/>
      <c r="AV291" s="824"/>
    </row>
    <row r="292" spans="1:48" s="15" customFormat="1" x14ac:dyDescent="0.25">
      <c r="A292" s="1038"/>
      <c r="M292" s="16"/>
      <c r="T292" s="824"/>
      <c r="V292" s="1280"/>
      <c r="W292" s="1280"/>
      <c r="X292" s="1280"/>
      <c r="Y292" s="1280"/>
      <c r="Z292" s="1280"/>
      <c r="AA292" s="1280"/>
      <c r="AB292" s="1280"/>
      <c r="AC292" s="1280"/>
      <c r="AD292" s="824"/>
      <c r="AE292" s="824"/>
      <c r="AF292" s="824"/>
      <c r="AG292" s="824"/>
      <c r="AH292" s="824"/>
      <c r="AI292" s="824"/>
      <c r="AJ292" s="824"/>
      <c r="AK292" s="824"/>
      <c r="AL292" s="824"/>
      <c r="AM292" s="824"/>
      <c r="AN292" s="824"/>
      <c r="AO292" s="824"/>
      <c r="AP292" s="824"/>
      <c r="AQ292" s="824"/>
      <c r="AR292" s="824"/>
      <c r="AS292" s="824"/>
      <c r="AT292" s="824"/>
      <c r="AU292" s="824"/>
      <c r="AV292" s="824"/>
    </row>
    <row r="293" spans="1:48" s="15" customFormat="1" x14ac:dyDescent="0.25">
      <c r="A293" s="1038"/>
      <c r="M293" s="16"/>
      <c r="T293" s="824"/>
      <c r="V293" s="1280"/>
      <c r="W293" s="1280"/>
      <c r="X293" s="1280"/>
      <c r="Y293" s="1280"/>
      <c r="Z293" s="1280"/>
      <c r="AA293" s="1280"/>
      <c r="AB293" s="1280"/>
      <c r="AC293" s="1280"/>
      <c r="AD293" s="824"/>
      <c r="AE293" s="824"/>
      <c r="AF293" s="824"/>
      <c r="AG293" s="824"/>
      <c r="AH293" s="824"/>
      <c r="AI293" s="824"/>
      <c r="AJ293" s="824"/>
      <c r="AK293" s="824"/>
      <c r="AL293" s="824"/>
      <c r="AM293" s="824"/>
      <c r="AN293" s="824"/>
      <c r="AO293" s="824"/>
      <c r="AP293" s="824"/>
      <c r="AQ293" s="824"/>
      <c r="AR293" s="824"/>
      <c r="AS293" s="824"/>
      <c r="AT293" s="824"/>
      <c r="AU293" s="824"/>
      <c r="AV293" s="824"/>
    </row>
    <row r="294" spans="1:48" s="15" customFormat="1" x14ac:dyDescent="0.25">
      <c r="A294" s="1038"/>
      <c r="M294" s="16"/>
      <c r="T294" s="824"/>
      <c r="V294" s="1280"/>
      <c r="W294" s="1280"/>
      <c r="X294" s="1280"/>
      <c r="Y294" s="1280"/>
      <c r="Z294" s="1280"/>
      <c r="AA294" s="1280"/>
      <c r="AB294" s="1280"/>
      <c r="AC294" s="1280"/>
      <c r="AD294" s="824"/>
      <c r="AE294" s="824"/>
      <c r="AF294" s="824"/>
      <c r="AG294" s="824"/>
      <c r="AH294" s="824"/>
      <c r="AI294" s="824"/>
      <c r="AJ294" s="824"/>
      <c r="AK294" s="824"/>
      <c r="AL294" s="824"/>
      <c r="AM294" s="824"/>
      <c r="AN294" s="824"/>
      <c r="AO294" s="824"/>
      <c r="AP294" s="824"/>
      <c r="AQ294" s="824"/>
      <c r="AR294" s="824"/>
      <c r="AS294" s="824"/>
      <c r="AT294" s="824"/>
      <c r="AU294" s="824"/>
      <c r="AV294" s="824"/>
    </row>
    <row r="295" spans="1:48" s="15" customFormat="1" x14ac:dyDescent="0.25">
      <c r="A295" s="1038"/>
      <c r="M295" s="16"/>
      <c r="T295" s="824"/>
      <c r="V295" s="1280"/>
      <c r="W295" s="1280"/>
      <c r="X295" s="1280"/>
      <c r="Y295" s="1280"/>
      <c r="Z295" s="1280"/>
      <c r="AA295" s="1280"/>
      <c r="AB295" s="1280"/>
      <c r="AC295" s="1280"/>
      <c r="AD295" s="824"/>
      <c r="AE295" s="824"/>
      <c r="AF295" s="824"/>
      <c r="AG295" s="824"/>
      <c r="AH295" s="824"/>
      <c r="AI295" s="824"/>
      <c r="AJ295" s="824"/>
      <c r="AK295" s="824"/>
      <c r="AL295" s="824"/>
      <c r="AM295" s="824"/>
      <c r="AN295" s="824"/>
      <c r="AO295" s="824"/>
      <c r="AP295" s="824"/>
      <c r="AQ295" s="824"/>
      <c r="AR295" s="824"/>
      <c r="AS295" s="824"/>
      <c r="AT295" s="824"/>
      <c r="AU295" s="824"/>
      <c r="AV295" s="824"/>
    </row>
    <row r="296" spans="1:48" s="15" customFormat="1" x14ac:dyDescent="0.25">
      <c r="A296" s="1038"/>
      <c r="M296" s="16"/>
      <c r="T296" s="824"/>
      <c r="V296" s="1280"/>
      <c r="W296" s="1280"/>
      <c r="X296" s="1280"/>
      <c r="Y296" s="1280"/>
      <c r="Z296" s="1280"/>
      <c r="AA296" s="1280"/>
      <c r="AB296" s="1280"/>
      <c r="AC296" s="1280"/>
      <c r="AD296" s="824"/>
      <c r="AE296" s="824"/>
      <c r="AF296" s="824"/>
      <c r="AG296" s="824"/>
      <c r="AH296" s="824"/>
      <c r="AI296" s="824"/>
      <c r="AJ296" s="824"/>
      <c r="AK296" s="824"/>
      <c r="AL296" s="824"/>
      <c r="AM296" s="824"/>
      <c r="AN296" s="824"/>
      <c r="AO296" s="824"/>
      <c r="AP296" s="824"/>
      <c r="AQ296" s="824"/>
      <c r="AR296" s="824"/>
      <c r="AS296" s="824"/>
      <c r="AT296" s="824"/>
      <c r="AU296" s="824"/>
      <c r="AV296" s="824"/>
    </row>
    <row r="297" spans="1:48" s="15" customFormat="1" x14ac:dyDescent="0.25">
      <c r="A297" s="1038"/>
      <c r="M297" s="16"/>
      <c r="T297" s="824"/>
      <c r="V297" s="1280"/>
      <c r="W297" s="1280"/>
      <c r="X297" s="1280"/>
      <c r="Y297" s="1280"/>
      <c r="Z297" s="1280"/>
      <c r="AA297" s="1280"/>
      <c r="AB297" s="1280"/>
      <c r="AC297" s="1280"/>
      <c r="AD297" s="824"/>
      <c r="AE297" s="824"/>
      <c r="AF297" s="824"/>
      <c r="AG297" s="824"/>
      <c r="AH297" s="824"/>
      <c r="AI297" s="824"/>
      <c r="AJ297" s="824"/>
      <c r="AK297" s="824"/>
      <c r="AL297" s="824"/>
      <c r="AM297" s="824"/>
      <c r="AN297" s="824"/>
      <c r="AO297" s="824"/>
      <c r="AP297" s="824"/>
      <c r="AQ297" s="824"/>
      <c r="AR297" s="824"/>
      <c r="AS297" s="824"/>
      <c r="AT297" s="824"/>
      <c r="AU297" s="824"/>
      <c r="AV297" s="824"/>
    </row>
    <row r="298" spans="1:48" s="15" customFormat="1" x14ac:dyDescent="0.25">
      <c r="A298" s="1038"/>
      <c r="M298" s="16"/>
      <c r="T298" s="824"/>
      <c r="V298" s="1280"/>
      <c r="W298" s="1280"/>
      <c r="X298" s="1280"/>
      <c r="Y298" s="1280"/>
      <c r="Z298" s="1280"/>
      <c r="AA298" s="1280"/>
      <c r="AB298" s="1280"/>
      <c r="AC298" s="1280"/>
      <c r="AD298" s="824"/>
      <c r="AE298" s="824"/>
      <c r="AF298" s="824"/>
      <c r="AG298" s="824"/>
      <c r="AH298" s="824"/>
      <c r="AI298" s="824"/>
      <c r="AJ298" s="824"/>
      <c r="AK298" s="824"/>
      <c r="AL298" s="824"/>
      <c r="AM298" s="824"/>
      <c r="AN298" s="824"/>
      <c r="AO298" s="824"/>
      <c r="AP298" s="824"/>
      <c r="AQ298" s="824"/>
      <c r="AR298" s="824"/>
      <c r="AS298" s="824"/>
      <c r="AT298" s="824"/>
      <c r="AU298" s="824"/>
      <c r="AV298" s="824"/>
    </row>
    <row r="299" spans="1:48" s="15" customFormat="1" x14ac:dyDescent="0.25">
      <c r="A299" s="1038"/>
      <c r="M299" s="16"/>
      <c r="T299" s="824"/>
      <c r="V299" s="1280"/>
      <c r="W299" s="1280"/>
      <c r="X299" s="1280"/>
      <c r="Y299" s="1280"/>
      <c r="Z299" s="1280"/>
      <c r="AA299" s="1280"/>
      <c r="AB299" s="1280"/>
      <c r="AC299" s="1280"/>
      <c r="AD299" s="824"/>
      <c r="AE299" s="824"/>
      <c r="AF299" s="824"/>
      <c r="AG299" s="824"/>
      <c r="AH299" s="824"/>
      <c r="AI299" s="824"/>
      <c r="AJ299" s="824"/>
      <c r="AK299" s="824"/>
      <c r="AL299" s="824"/>
      <c r="AM299" s="824"/>
      <c r="AN299" s="824"/>
      <c r="AO299" s="824"/>
      <c r="AP299" s="824"/>
      <c r="AQ299" s="824"/>
      <c r="AR299" s="824"/>
      <c r="AS299" s="824"/>
      <c r="AT299" s="824"/>
      <c r="AU299" s="824"/>
      <c r="AV299" s="824"/>
    </row>
    <row r="300" spans="1:48" s="15" customFormat="1" x14ac:dyDescent="0.25">
      <c r="A300" s="1038"/>
      <c r="M300" s="16"/>
      <c r="T300" s="824"/>
      <c r="V300" s="1280"/>
      <c r="W300" s="1280"/>
      <c r="X300" s="1280"/>
      <c r="Y300" s="1280"/>
      <c r="Z300" s="1280"/>
      <c r="AA300" s="1280"/>
      <c r="AB300" s="1280"/>
      <c r="AC300" s="1280"/>
      <c r="AD300" s="824"/>
      <c r="AE300" s="824"/>
      <c r="AF300" s="824"/>
      <c r="AG300" s="824"/>
      <c r="AH300" s="824"/>
      <c r="AI300" s="824"/>
      <c r="AJ300" s="824"/>
      <c r="AK300" s="824"/>
      <c r="AL300" s="824"/>
      <c r="AM300" s="824"/>
      <c r="AN300" s="824"/>
      <c r="AO300" s="824"/>
      <c r="AP300" s="824"/>
      <c r="AQ300" s="824"/>
      <c r="AR300" s="824"/>
      <c r="AS300" s="824"/>
      <c r="AT300" s="824"/>
      <c r="AU300" s="824"/>
      <c r="AV300" s="824"/>
    </row>
    <row r="301" spans="1:48" s="15" customFormat="1" x14ac:dyDescent="0.25">
      <c r="A301" s="1038"/>
      <c r="M301" s="16"/>
      <c r="T301" s="824"/>
      <c r="V301" s="1280"/>
      <c r="W301" s="1280"/>
      <c r="X301" s="1280"/>
      <c r="Y301" s="1280"/>
      <c r="Z301" s="1280"/>
      <c r="AA301" s="1280"/>
      <c r="AB301" s="1280"/>
      <c r="AC301" s="1280"/>
      <c r="AD301" s="824"/>
      <c r="AE301" s="824"/>
      <c r="AF301" s="824"/>
      <c r="AG301" s="824"/>
      <c r="AH301" s="824"/>
      <c r="AI301" s="824"/>
      <c r="AJ301" s="824"/>
      <c r="AK301" s="824"/>
      <c r="AL301" s="824"/>
      <c r="AM301" s="824"/>
      <c r="AN301" s="824"/>
      <c r="AO301" s="824"/>
      <c r="AP301" s="824"/>
      <c r="AQ301" s="824"/>
      <c r="AR301" s="824"/>
      <c r="AS301" s="824"/>
      <c r="AT301" s="824"/>
      <c r="AU301" s="824"/>
      <c r="AV301" s="824"/>
    </row>
    <row r="302" spans="1:48" s="15" customFormat="1" x14ac:dyDescent="0.25">
      <c r="A302" s="1038"/>
      <c r="M302" s="16"/>
      <c r="T302" s="824"/>
      <c r="V302" s="1280"/>
      <c r="W302" s="1280"/>
      <c r="X302" s="1280"/>
      <c r="Y302" s="1280"/>
      <c r="Z302" s="1280"/>
      <c r="AA302" s="1280"/>
      <c r="AB302" s="1280"/>
      <c r="AC302" s="1280"/>
      <c r="AD302" s="824"/>
      <c r="AE302" s="824"/>
      <c r="AF302" s="824"/>
      <c r="AG302" s="824"/>
      <c r="AH302" s="824"/>
      <c r="AI302" s="824"/>
      <c r="AJ302" s="824"/>
      <c r="AK302" s="824"/>
      <c r="AL302" s="824"/>
      <c r="AM302" s="824"/>
      <c r="AN302" s="824"/>
      <c r="AO302" s="824"/>
      <c r="AP302" s="824"/>
      <c r="AQ302" s="824"/>
      <c r="AR302" s="824"/>
      <c r="AS302" s="824"/>
      <c r="AT302" s="824"/>
      <c r="AU302" s="824"/>
      <c r="AV302" s="824"/>
    </row>
    <row r="303" spans="1:48" s="15" customFormat="1" x14ac:dyDescent="0.25">
      <c r="A303" s="1038"/>
      <c r="M303" s="16"/>
      <c r="T303" s="824"/>
      <c r="V303" s="1280"/>
      <c r="W303" s="1280"/>
      <c r="X303" s="1280"/>
      <c r="Y303" s="1280"/>
      <c r="Z303" s="1280"/>
      <c r="AA303" s="1280"/>
      <c r="AB303" s="1280"/>
      <c r="AC303" s="1280"/>
      <c r="AD303" s="824"/>
      <c r="AE303" s="824"/>
      <c r="AF303" s="824"/>
      <c r="AG303" s="824"/>
      <c r="AH303" s="824"/>
      <c r="AI303" s="824"/>
      <c r="AJ303" s="824"/>
      <c r="AK303" s="824"/>
      <c r="AL303" s="824"/>
      <c r="AM303" s="824"/>
      <c r="AN303" s="824"/>
      <c r="AO303" s="824"/>
      <c r="AP303" s="824"/>
      <c r="AQ303" s="824"/>
      <c r="AR303" s="824"/>
      <c r="AS303" s="824"/>
      <c r="AT303" s="824"/>
      <c r="AU303" s="824"/>
      <c r="AV303" s="824"/>
    </row>
    <row r="304" spans="1:48" s="15" customFormat="1" x14ac:dyDescent="0.25">
      <c r="A304" s="1038"/>
      <c r="M304" s="16"/>
      <c r="T304" s="824"/>
      <c r="V304" s="1280"/>
      <c r="W304" s="1280"/>
      <c r="X304" s="1280"/>
      <c r="Y304" s="1280"/>
      <c r="Z304" s="1280"/>
      <c r="AA304" s="1280"/>
      <c r="AB304" s="1280"/>
      <c r="AC304" s="1280"/>
      <c r="AD304" s="824"/>
      <c r="AE304" s="824"/>
      <c r="AF304" s="824"/>
      <c r="AG304" s="824"/>
      <c r="AH304" s="824"/>
      <c r="AI304" s="824"/>
      <c r="AJ304" s="824"/>
      <c r="AK304" s="824"/>
      <c r="AL304" s="824"/>
      <c r="AM304" s="824"/>
      <c r="AN304" s="824"/>
      <c r="AO304" s="824"/>
      <c r="AP304" s="824"/>
      <c r="AQ304" s="824"/>
      <c r="AR304" s="824"/>
      <c r="AS304" s="824"/>
      <c r="AT304" s="824"/>
      <c r="AU304" s="824"/>
      <c r="AV304" s="824"/>
    </row>
    <row r="305" spans="1:48" s="15" customFormat="1" x14ac:dyDescent="0.25">
      <c r="A305" s="1038"/>
      <c r="M305" s="16"/>
      <c r="T305" s="824"/>
      <c r="V305" s="1280"/>
      <c r="W305" s="1280"/>
      <c r="X305" s="1280"/>
      <c r="Y305" s="1280"/>
      <c r="Z305" s="1280"/>
      <c r="AA305" s="1280"/>
      <c r="AB305" s="1280"/>
      <c r="AC305" s="1280"/>
      <c r="AD305" s="824"/>
      <c r="AE305" s="824"/>
      <c r="AF305" s="824"/>
      <c r="AG305" s="824"/>
      <c r="AH305" s="824"/>
      <c r="AI305" s="824"/>
      <c r="AJ305" s="824"/>
      <c r="AK305" s="824"/>
      <c r="AL305" s="824"/>
      <c r="AM305" s="824"/>
      <c r="AN305" s="824"/>
      <c r="AO305" s="824"/>
      <c r="AP305" s="824"/>
      <c r="AQ305" s="824"/>
      <c r="AR305" s="824"/>
      <c r="AS305" s="824"/>
      <c r="AT305" s="824"/>
      <c r="AU305" s="824"/>
      <c r="AV305" s="824"/>
    </row>
    <row r="306" spans="1:48" s="15" customFormat="1" x14ac:dyDescent="0.25">
      <c r="A306" s="1038"/>
      <c r="M306" s="16"/>
      <c r="T306" s="824"/>
      <c r="V306" s="1280"/>
      <c r="W306" s="1280"/>
      <c r="X306" s="1280"/>
      <c r="Y306" s="1280"/>
      <c r="Z306" s="1280"/>
      <c r="AA306" s="1280"/>
      <c r="AB306" s="1280"/>
      <c r="AC306" s="1280"/>
      <c r="AD306" s="824"/>
      <c r="AE306" s="824"/>
      <c r="AF306" s="824"/>
      <c r="AG306" s="824"/>
      <c r="AH306" s="824"/>
      <c r="AI306" s="824"/>
      <c r="AJ306" s="824"/>
      <c r="AK306" s="824"/>
      <c r="AL306" s="824"/>
      <c r="AM306" s="824"/>
      <c r="AN306" s="824"/>
      <c r="AO306" s="824"/>
      <c r="AP306" s="824"/>
      <c r="AQ306" s="824"/>
      <c r="AR306" s="824"/>
      <c r="AS306" s="824"/>
      <c r="AT306" s="824"/>
      <c r="AU306" s="824"/>
      <c r="AV306" s="824"/>
    </row>
    <row r="307" spans="1:48" s="15" customFormat="1" x14ac:dyDescent="0.25">
      <c r="A307" s="1038"/>
      <c r="M307" s="16"/>
      <c r="T307" s="824"/>
      <c r="V307" s="1280"/>
      <c r="W307" s="1280"/>
      <c r="X307" s="1280"/>
      <c r="Y307" s="1280"/>
      <c r="Z307" s="1280"/>
      <c r="AA307" s="1280"/>
      <c r="AB307" s="1280"/>
      <c r="AC307" s="1280"/>
      <c r="AD307" s="824"/>
      <c r="AE307" s="824"/>
      <c r="AF307" s="824"/>
      <c r="AG307" s="824"/>
      <c r="AH307" s="824"/>
      <c r="AI307" s="824"/>
      <c r="AJ307" s="824"/>
      <c r="AK307" s="824"/>
      <c r="AL307" s="824"/>
      <c r="AM307" s="824"/>
      <c r="AN307" s="824"/>
      <c r="AO307" s="824"/>
      <c r="AP307" s="824"/>
      <c r="AQ307" s="824"/>
      <c r="AR307" s="824"/>
      <c r="AS307" s="824"/>
      <c r="AT307" s="824"/>
      <c r="AU307" s="824"/>
      <c r="AV307" s="824"/>
    </row>
    <row r="308" spans="1:48" s="15" customFormat="1" x14ac:dyDescent="0.25">
      <c r="A308" s="1038"/>
      <c r="M308" s="16"/>
      <c r="T308" s="824"/>
      <c r="V308" s="1280"/>
      <c r="W308" s="1280"/>
      <c r="X308" s="1280"/>
      <c r="Y308" s="1280"/>
      <c r="Z308" s="1280"/>
      <c r="AA308" s="1280"/>
      <c r="AB308" s="1280"/>
      <c r="AC308" s="1280"/>
      <c r="AD308" s="824"/>
      <c r="AE308" s="824"/>
      <c r="AF308" s="824"/>
      <c r="AG308" s="824"/>
      <c r="AH308" s="824"/>
      <c r="AI308" s="824"/>
      <c r="AJ308" s="824"/>
      <c r="AK308" s="824"/>
      <c r="AL308" s="824"/>
      <c r="AM308" s="824"/>
      <c r="AN308" s="824"/>
      <c r="AO308" s="824"/>
      <c r="AP308" s="824"/>
      <c r="AQ308" s="824"/>
      <c r="AR308" s="824"/>
      <c r="AS308" s="824"/>
      <c r="AT308" s="824"/>
      <c r="AU308" s="824"/>
      <c r="AV308" s="824"/>
    </row>
    <row r="309" spans="1:48" s="15" customFormat="1" x14ac:dyDescent="0.25">
      <c r="A309" s="1038"/>
      <c r="M309" s="16"/>
      <c r="T309" s="824"/>
      <c r="V309" s="1280"/>
      <c r="W309" s="1280"/>
      <c r="X309" s="1280"/>
      <c r="Y309" s="1280"/>
      <c r="Z309" s="1280"/>
      <c r="AA309" s="1280"/>
      <c r="AB309" s="1280"/>
      <c r="AC309" s="1280"/>
      <c r="AD309" s="824"/>
      <c r="AE309" s="824"/>
      <c r="AF309" s="824"/>
      <c r="AG309" s="824"/>
      <c r="AH309" s="824"/>
      <c r="AI309" s="824"/>
      <c r="AJ309" s="824"/>
      <c r="AK309" s="824"/>
      <c r="AL309" s="824"/>
      <c r="AM309" s="824"/>
      <c r="AN309" s="824"/>
      <c r="AO309" s="824"/>
      <c r="AP309" s="824"/>
      <c r="AQ309" s="824"/>
      <c r="AR309" s="824"/>
      <c r="AS309" s="824"/>
      <c r="AT309" s="824"/>
      <c r="AU309" s="824"/>
      <c r="AV309" s="824"/>
    </row>
    <row r="310" spans="1:48" s="15" customFormat="1" x14ac:dyDescent="0.25">
      <c r="A310" s="1038"/>
      <c r="M310" s="16"/>
      <c r="T310" s="824"/>
      <c r="V310" s="1280"/>
      <c r="W310" s="1280"/>
      <c r="X310" s="1280"/>
      <c r="Y310" s="1280"/>
      <c r="Z310" s="1280"/>
      <c r="AA310" s="1280"/>
      <c r="AB310" s="1280"/>
      <c r="AC310" s="1280"/>
      <c r="AD310" s="824"/>
      <c r="AE310" s="824"/>
      <c r="AF310" s="824"/>
      <c r="AG310" s="824"/>
      <c r="AH310" s="824"/>
      <c r="AI310" s="824"/>
      <c r="AJ310" s="824"/>
      <c r="AK310" s="824"/>
      <c r="AL310" s="824"/>
      <c r="AM310" s="824"/>
      <c r="AN310" s="824"/>
      <c r="AO310" s="824"/>
      <c r="AP310" s="824"/>
      <c r="AQ310" s="824"/>
      <c r="AR310" s="824"/>
      <c r="AS310" s="824"/>
      <c r="AT310" s="824"/>
      <c r="AU310" s="824"/>
      <c r="AV310" s="824"/>
    </row>
    <row r="311" spans="1:48" s="15" customFormat="1" x14ac:dyDescent="0.25">
      <c r="A311" s="1038"/>
      <c r="M311" s="16"/>
      <c r="T311" s="824"/>
      <c r="V311" s="1280"/>
      <c r="W311" s="1280"/>
      <c r="X311" s="1280"/>
      <c r="Y311" s="1280"/>
      <c r="Z311" s="1280"/>
      <c r="AA311" s="1280"/>
      <c r="AB311" s="1280"/>
      <c r="AC311" s="1280"/>
      <c r="AD311" s="824"/>
      <c r="AE311" s="824"/>
      <c r="AF311" s="824"/>
      <c r="AG311" s="824"/>
      <c r="AH311" s="824"/>
      <c r="AI311" s="824"/>
      <c r="AJ311" s="824"/>
      <c r="AK311" s="824"/>
      <c r="AL311" s="824"/>
      <c r="AM311" s="824"/>
      <c r="AN311" s="824"/>
      <c r="AO311" s="824"/>
      <c r="AP311" s="824"/>
      <c r="AQ311" s="824"/>
      <c r="AR311" s="824"/>
      <c r="AS311" s="824"/>
      <c r="AT311" s="824"/>
      <c r="AU311" s="824"/>
      <c r="AV311" s="824"/>
    </row>
    <row r="312" spans="1:48" s="15" customFormat="1" x14ac:dyDescent="0.25">
      <c r="A312" s="1038"/>
      <c r="M312" s="16"/>
      <c r="T312" s="824"/>
      <c r="V312" s="1280"/>
      <c r="W312" s="1280"/>
      <c r="X312" s="1280"/>
      <c r="Y312" s="1280"/>
      <c r="Z312" s="1280"/>
      <c r="AA312" s="1280"/>
      <c r="AB312" s="1280"/>
      <c r="AC312" s="1280"/>
      <c r="AD312" s="824"/>
      <c r="AE312" s="824"/>
      <c r="AF312" s="824"/>
      <c r="AG312" s="824"/>
      <c r="AH312" s="824"/>
      <c r="AI312" s="824"/>
      <c r="AJ312" s="824"/>
      <c r="AK312" s="824"/>
      <c r="AL312" s="824"/>
      <c r="AM312" s="824"/>
      <c r="AN312" s="824"/>
      <c r="AO312" s="824"/>
      <c r="AP312" s="824"/>
      <c r="AQ312" s="824"/>
      <c r="AR312" s="824"/>
      <c r="AS312" s="824"/>
      <c r="AT312" s="824"/>
      <c r="AU312" s="824"/>
      <c r="AV312" s="824"/>
    </row>
    <row r="313" spans="1:48" s="15" customFormat="1" x14ac:dyDescent="0.25">
      <c r="A313" s="1038"/>
      <c r="M313" s="16"/>
      <c r="T313" s="824"/>
      <c r="V313" s="1280"/>
      <c r="W313" s="1280"/>
      <c r="X313" s="1280"/>
      <c r="Y313" s="1280"/>
      <c r="Z313" s="1280"/>
      <c r="AA313" s="1280"/>
      <c r="AB313" s="1280"/>
      <c r="AC313" s="1280"/>
      <c r="AD313" s="824"/>
      <c r="AE313" s="824"/>
      <c r="AF313" s="824"/>
      <c r="AG313" s="824"/>
      <c r="AH313" s="824"/>
      <c r="AI313" s="824"/>
      <c r="AJ313" s="824"/>
      <c r="AK313" s="824"/>
      <c r="AL313" s="824"/>
      <c r="AM313" s="824"/>
      <c r="AN313" s="824"/>
      <c r="AO313" s="824"/>
      <c r="AP313" s="824"/>
      <c r="AQ313" s="824"/>
      <c r="AR313" s="824"/>
      <c r="AS313" s="824"/>
      <c r="AT313" s="824"/>
      <c r="AU313" s="824"/>
      <c r="AV313" s="824"/>
    </row>
    <row r="314" spans="1:48" s="15" customFormat="1" x14ac:dyDescent="0.25">
      <c r="A314" s="1038"/>
      <c r="M314" s="16"/>
      <c r="T314" s="824"/>
      <c r="V314" s="1280"/>
      <c r="W314" s="1280"/>
      <c r="X314" s="1280"/>
      <c r="Y314" s="1280"/>
      <c r="Z314" s="1280"/>
      <c r="AA314" s="1280"/>
      <c r="AB314" s="1280"/>
      <c r="AC314" s="1280"/>
      <c r="AD314" s="824"/>
      <c r="AE314" s="824"/>
      <c r="AF314" s="824"/>
      <c r="AG314" s="824"/>
      <c r="AH314" s="824"/>
      <c r="AI314" s="824"/>
      <c r="AJ314" s="824"/>
      <c r="AK314" s="824"/>
      <c r="AL314" s="824"/>
      <c r="AM314" s="824"/>
      <c r="AN314" s="824"/>
      <c r="AO314" s="824"/>
      <c r="AP314" s="824"/>
      <c r="AQ314" s="824"/>
      <c r="AR314" s="824"/>
      <c r="AS314" s="824"/>
      <c r="AT314" s="824"/>
      <c r="AU314" s="824"/>
      <c r="AV314" s="824"/>
    </row>
    <row r="315" spans="1:48" s="15" customFormat="1" x14ac:dyDescent="0.25">
      <c r="A315" s="1038"/>
      <c r="M315" s="16"/>
      <c r="T315" s="824"/>
      <c r="V315" s="1280"/>
      <c r="W315" s="1280"/>
      <c r="X315" s="1280"/>
      <c r="Y315" s="1280"/>
      <c r="Z315" s="1280"/>
      <c r="AA315" s="1280"/>
      <c r="AB315" s="1280"/>
      <c r="AC315" s="1280"/>
      <c r="AD315" s="824"/>
      <c r="AE315" s="824"/>
      <c r="AF315" s="824"/>
      <c r="AG315" s="824"/>
      <c r="AH315" s="824"/>
      <c r="AI315" s="824"/>
      <c r="AJ315" s="824"/>
      <c r="AK315" s="824"/>
      <c r="AL315" s="824"/>
      <c r="AM315" s="824"/>
      <c r="AN315" s="824"/>
      <c r="AO315" s="824"/>
      <c r="AP315" s="824"/>
      <c r="AQ315" s="824"/>
      <c r="AR315" s="824"/>
      <c r="AS315" s="824"/>
      <c r="AT315" s="824"/>
      <c r="AU315" s="824"/>
      <c r="AV315" s="824"/>
    </row>
    <row r="316" spans="1:48" s="15" customFormat="1" x14ac:dyDescent="0.25">
      <c r="A316" s="1038"/>
      <c r="M316" s="16"/>
      <c r="T316" s="824"/>
      <c r="V316" s="1280"/>
      <c r="W316" s="1280"/>
      <c r="X316" s="1280"/>
      <c r="Y316" s="1280"/>
      <c r="Z316" s="1280"/>
      <c r="AA316" s="1280"/>
      <c r="AB316" s="1280"/>
      <c r="AC316" s="1280"/>
      <c r="AD316" s="824"/>
      <c r="AE316" s="824"/>
      <c r="AF316" s="824"/>
      <c r="AG316" s="824"/>
      <c r="AH316" s="824"/>
      <c r="AI316" s="824"/>
      <c r="AJ316" s="824"/>
      <c r="AK316" s="824"/>
      <c r="AL316" s="824"/>
      <c r="AM316" s="824"/>
      <c r="AN316" s="824"/>
      <c r="AO316" s="824"/>
      <c r="AP316" s="824"/>
      <c r="AQ316" s="824"/>
      <c r="AR316" s="824"/>
      <c r="AS316" s="824"/>
      <c r="AT316" s="824"/>
      <c r="AU316" s="824"/>
      <c r="AV316" s="824"/>
    </row>
    <row r="317" spans="1:48" s="15" customFormat="1" x14ac:dyDescent="0.25">
      <c r="A317" s="1038"/>
      <c r="M317" s="16"/>
      <c r="T317" s="824"/>
      <c r="V317" s="1280"/>
      <c r="W317" s="1280"/>
      <c r="X317" s="1280"/>
      <c r="Y317" s="1280"/>
      <c r="Z317" s="1280"/>
      <c r="AA317" s="1280"/>
      <c r="AB317" s="1280"/>
      <c r="AC317" s="1280"/>
      <c r="AD317" s="824"/>
      <c r="AE317" s="824"/>
      <c r="AF317" s="824"/>
      <c r="AG317" s="824"/>
      <c r="AH317" s="824"/>
      <c r="AI317" s="824"/>
      <c r="AJ317" s="824"/>
      <c r="AK317" s="824"/>
      <c r="AL317" s="824"/>
      <c r="AM317" s="824"/>
      <c r="AN317" s="824"/>
      <c r="AO317" s="824"/>
      <c r="AP317" s="824"/>
      <c r="AQ317" s="824"/>
      <c r="AR317" s="824"/>
      <c r="AS317" s="824"/>
      <c r="AT317" s="824"/>
      <c r="AU317" s="824"/>
      <c r="AV317" s="824"/>
    </row>
    <row r="318" spans="1:48" s="15" customFormat="1" x14ac:dyDescent="0.25">
      <c r="A318" s="1038"/>
      <c r="M318" s="16"/>
      <c r="T318" s="824"/>
      <c r="V318" s="1280"/>
      <c r="W318" s="1280"/>
      <c r="X318" s="1280"/>
      <c r="Y318" s="1280"/>
      <c r="Z318" s="1280"/>
      <c r="AA318" s="1280"/>
      <c r="AB318" s="1280"/>
      <c r="AC318" s="1280"/>
      <c r="AD318" s="824"/>
      <c r="AE318" s="824"/>
      <c r="AF318" s="824"/>
      <c r="AG318" s="824"/>
      <c r="AH318" s="824"/>
      <c r="AI318" s="824"/>
      <c r="AJ318" s="824"/>
      <c r="AK318" s="824"/>
      <c r="AL318" s="824"/>
      <c r="AM318" s="824"/>
      <c r="AN318" s="824"/>
      <c r="AO318" s="824"/>
      <c r="AP318" s="824"/>
      <c r="AQ318" s="824"/>
      <c r="AR318" s="824"/>
      <c r="AS318" s="824"/>
      <c r="AT318" s="824"/>
      <c r="AU318" s="824"/>
      <c r="AV318" s="824"/>
    </row>
    <row r="319" spans="1:48" s="15" customFormat="1" x14ac:dyDescent="0.25">
      <c r="A319" s="1038"/>
      <c r="M319" s="16"/>
      <c r="T319" s="824"/>
      <c r="V319" s="1280"/>
      <c r="W319" s="1280"/>
      <c r="X319" s="1280"/>
      <c r="Y319" s="1280"/>
      <c r="Z319" s="1280"/>
      <c r="AA319" s="1280"/>
      <c r="AB319" s="1280"/>
      <c r="AC319" s="1280"/>
      <c r="AD319" s="824"/>
      <c r="AE319" s="824"/>
      <c r="AF319" s="824"/>
      <c r="AG319" s="824"/>
      <c r="AH319" s="824"/>
      <c r="AI319" s="824"/>
      <c r="AJ319" s="824"/>
      <c r="AK319" s="824"/>
      <c r="AL319" s="824"/>
      <c r="AM319" s="824"/>
      <c r="AN319" s="824"/>
      <c r="AO319" s="824"/>
      <c r="AP319" s="824"/>
      <c r="AQ319" s="824"/>
      <c r="AR319" s="824"/>
      <c r="AS319" s="824"/>
      <c r="AT319" s="824"/>
      <c r="AU319" s="824"/>
      <c r="AV319" s="824"/>
    </row>
    <row r="320" spans="1:48" s="15" customFormat="1" x14ac:dyDescent="0.25">
      <c r="A320" s="1038"/>
      <c r="M320" s="16"/>
      <c r="T320" s="824"/>
      <c r="V320" s="1280"/>
      <c r="W320" s="1280"/>
      <c r="X320" s="1280"/>
      <c r="Y320" s="1280"/>
      <c r="Z320" s="1280"/>
      <c r="AA320" s="1280"/>
      <c r="AB320" s="1280"/>
      <c r="AC320" s="1280"/>
      <c r="AD320" s="824"/>
      <c r="AE320" s="824"/>
      <c r="AF320" s="824"/>
      <c r="AG320" s="824"/>
      <c r="AH320" s="824"/>
      <c r="AI320" s="824"/>
      <c r="AJ320" s="824"/>
      <c r="AK320" s="824"/>
      <c r="AL320" s="824"/>
      <c r="AM320" s="824"/>
      <c r="AN320" s="824"/>
      <c r="AO320" s="824"/>
      <c r="AP320" s="824"/>
      <c r="AQ320" s="824"/>
      <c r="AR320" s="824"/>
      <c r="AS320" s="824"/>
      <c r="AT320" s="824"/>
      <c r="AU320" s="824"/>
      <c r="AV320" s="824"/>
    </row>
    <row r="321" spans="1:48" s="15" customFormat="1" x14ac:dyDescent="0.25">
      <c r="A321" s="1038"/>
      <c r="M321" s="16"/>
      <c r="T321" s="824"/>
      <c r="V321" s="1280"/>
      <c r="W321" s="1280"/>
      <c r="X321" s="1280"/>
      <c r="Y321" s="1280"/>
      <c r="Z321" s="1280"/>
      <c r="AA321" s="1280"/>
      <c r="AB321" s="1280"/>
      <c r="AC321" s="1280"/>
      <c r="AD321" s="824"/>
      <c r="AE321" s="824"/>
      <c r="AF321" s="824"/>
      <c r="AG321" s="824"/>
      <c r="AH321" s="824"/>
      <c r="AI321" s="824"/>
      <c r="AJ321" s="824"/>
      <c r="AK321" s="824"/>
      <c r="AL321" s="824"/>
      <c r="AM321" s="824"/>
      <c r="AN321" s="824"/>
      <c r="AO321" s="824"/>
      <c r="AP321" s="824"/>
      <c r="AQ321" s="824"/>
      <c r="AR321" s="824"/>
      <c r="AS321" s="824"/>
      <c r="AT321" s="824"/>
      <c r="AU321" s="824"/>
      <c r="AV321" s="824"/>
    </row>
    <row r="322" spans="1:48" s="15" customFormat="1" x14ac:dyDescent="0.25">
      <c r="A322" s="1038"/>
      <c r="M322" s="16"/>
      <c r="T322" s="824"/>
      <c r="V322" s="1280"/>
      <c r="W322" s="1280"/>
      <c r="X322" s="1280"/>
      <c r="Y322" s="1280"/>
      <c r="Z322" s="1280"/>
      <c r="AA322" s="1280"/>
      <c r="AB322" s="1280"/>
      <c r="AC322" s="1280"/>
      <c r="AD322" s="824"/>
      <c r="AE322" s="824"/>
      <c r="AF322" s="824"/>
      <c r="AG322" s="824"/>
      <c r="AH322" s="824"/>
      <c r="AI322" s="824"/>
      <c r="AJ322" s="824"/>
      <c r="AK322" s="824"/>
      <c r="AL322" s="824"/>
      <c r="AM322" s="824"/>
      <c r="AN322" s="824"/>
      <c r="AO322" s="824"/>
      <c r="AP322" s="824"/>
      <c r="AQ322" s="824"/>
      <c r="AR322" s="824"/>
      <c r="AS322" s="824"/>
      <c r="AT322" s="824"/>
      <c r="AU322" s="824"/>
      <c r="AV322" s="824"/>
    </row>
    <row r="323" spans="1:48" s="15" customFormat="1" x14ac:dyDescent="0.25">
      <c r="A323" s="1038"/>
      <c r="M323" s="16"/>
      <c r="T323" s="824"/>
      <c r="V323" s="1280"/>
      <c r="W323" s="1280"/>
      <c r="X323" s="1280"/>
      <c r="Y323" s="1280"/>
      <c r="Z323" s="1280"/>
      <c r="AA323" s="1280"/>
      <c r="AB323" s="1280"/>
      <c r="AC323" s="1280"/>
      <c r="AD323" s="824"/>
      <c r="AE323" s="824"/>
      <c r="AF323" s="824"/>
      <c r="AG323" s="824"/>
      <c r="AH323" s="824"/>
      <c r="AI323" s="824"/>
      <c r="AJ323" s="824"/>
      <c r="AK323" s="824"/>
      <c r="AL323" s="824"/>
      <c r="AM323" s="824"/>
      <c r="AN323" s="824"/>
      <c r="AO323" s="824"/>
      <c r="AP323" s="824"/>
      <c r="AQ323" s="824"/>
      <c r="AR323" s="824"/>
      <c r="AS323" s="824"/>
      <c r="AT323" s="824"/>
      <c r="AU323" s="824"/>
      <c r="AV323" s="824"/>
    </row>
    <row r="324" spans="1:48" s="15" customFormat="1" x14ac:dyDescent="0.25">
      <c r="A324" s="1038"/>
      <c r="M324" s="16"/>
      <c r="T324" s="824"/>
      <c r="V324" s="1280"/>
      <c r="W324" s="1280"/>
      <c r="X324" s="1280"/>
      <c r="Y324" s="1280"/>
      <c r="Z324" s="1280"/>
      <c r="AA324" s="1280"/>
      <c r="AB324" s="1280"/>
      <c r="AC324" s="1280"/>
      <c r="AD324" s="824"/>
      <c r="AE324" s="824"/>
      <c r="AF324" s="824"/>
      <c r="AG324" s="824"/>
      <c r="AH324" s="824"/>
      <c r="AI324" s="824"/>
      <c r="AJ324" s="824"/>
      <c r="AK324" s="824"/>
      <c r="AL324" s="824"/>
      <c r="AM324" s="824"/>
      <c r="AN324" s="824"/>
      <c r="AO324" s="824"/>
      <c r="AP324" s="824"/>
      <c r="AQ324" s="824"/>
      <c r="AR324" s="824"/>
      <c r="AS324" s="824"/>
      <c r="AT324" s="824"/>
      <c r="AU324" s="824"/>
      <c r="AV324" s="824"/>
    </row>
    <row r="325" spans="1:48" s="15" customFormat="1" x14ac:dyDescent="0.25">
      <c r="A325" s="1038"/>
      <c r="M325" s="16"/>
      <c r="T325" s="824"/>
      <c r="V325" s="1280"/>
      <c r="W325" s="1280"/>
      <c r="X325" s="1280"/>
      <c r="Y325" s="1280"/>
      <c r="Z325" s="1280"/>
      <c r="AA325" s="1280"/>
      <c r="AB325" s="1280"/>
      <c r="AC325" s="1280"/>
      <c r="AD325" s="824"/>
      <c r="AE325" s="824"/>
      <c r="AF325" s="824"/>
      <c r="AG325" s="824"/>
      <c r="AH325" s="824"/>
      <c r="AI325" s="824"/>
      <c r="AJ325" s="824"/>
      <c r="AK325" s="824"/>
      <c r="AL325" s="824"/>
      <c r="AM325" s="824"/>
      <c r="AN325" s="824"/>
      <c r="AO325" s="824"/>
      <c r="AP325" s="824"/>
      <c r="AQ325" s="824"/>
      <c r="AR325" s="824"/>
      <c r="AS325" s="824"/>
      <c r="AT325" s="824"/>
      <c r="AU325" s="824"/>
      <c r="AV325" s="824"/>
    </row>
    <row r="326" spans="1:48" s="15" customFormat="1" x14ac:dyDescent="0.25">
      <c r="A326" s="1038"/>
      <c r="M326" s="16"/>
      <c r="T326" s="824"/>
      <c r="V326" s="1280"/>
      <c r="W326" s="1280"/>
      <c r="X326" s="1280"/>
      <c r="Y326" s="1280"/>
      <c r="Z326" s="1280"/>
      <c r="AA326" s="1280"/>
      <c r="AB326" s="1280"/>
      <c r="AC326" s="1280"/>
      <c r="AD326" s="824"/>
      <c r="AE326" s="824"/>
      <c r="AF326" s="824"/>
      <c r="AG326" s="824"/>
      <c r="AH326" s="824"/>
      <c r="AI326" s="824"/>
      <c r="AJ326" s="824"/>
      <c r="AK326" s="824"/>
      <c r="AL326" s="824"/>
      <c r="AM326" s="824"/>
      <c r="AN326" s="824"/>
      <c r="AO326" s="824"/>
      <c r="AP326" s="824"/>
      <c r="AQ326" s="824"/>
      <c r="AR326" s="824"/>
      <c r="AS326" s="824"/>
      <c r="AT326" s="824"/>
      <c r="AU326" s="824"/>
      <c r="AV326" s="824"/>
    </row>
    <row r="327" spans="1:48" s="15" customFormat="1" x14ac:dyDescent="0.25">
      <c r="A327" s="1038"/>
      <c r="M327" s="16"/>
      <c r="T327" s="824"/>
      <c r="V327" s="1280"/>
      <c r="W327" s="1280"/>
      <c r="X327" s="1280"/>
      <c r="Y327" s="1280"/>
      <c r="Z327" s="1280"/>
      <c r="AA327" s="1280"/>
      <c r="AB327" s="1280"/>
      <c r="AC327" s="1280"/>
      <c r="AD327" s="824"/>
      <c r="AE327" s="824"/>
      <c r="AF327" s="824"/>
      <c r="AG327" s="824"/>
      <c r="AH327" s="824"/>
      <c r="AI327" s="824"/>
      <c r="AJ327" s="824"/>
      <c r="AK327" s="824"/>
      <c r="AL327" s="824"/>
      <c r="AM327" s="824"/>
      <c r="AN327" s="824"/>
      <c r="AO327" s="824"/>
      <c r="AP327" s="824"/>
      <c r="AQ327" s="824"/>
      <c r="AR327" s="824"/>
      <c r="AS327" s="824"/>
      <c r="AT327" s="824"/>
      <c r="AU327" s="824"/>
      <c r="AV327" s="824"/>
    </row>
    <row r="328" spans="1:48" s="15" customFormat="1" x14ac:dyDescent="0.25">
      <c r="A328" s="1038"/>
      <c r="M328" s="16"/>
      <c r="T328" s="824"/>
      <c r="V328" s="1280"/>
      <c r="W328" s="1280"/>
      <c r="X328" s="1280"/>
      <c r="Y328" s="1280"/>
      <c r="Z328" s="1280"/>
      <c r="AA328" s="1280"/>
      <c r="AB328" s="1280"/>
      <c r="AC328" s="1280"/>
      <c r="AD328" s="824"/>
      <c r="AE328" s="824"/>
      <c r="AF328" s="824"/>
      <c r="AG328" s="824"/>
      <c r="AH328" s="824"/>
      <c r="AI328" s="824"/>
      <c r="AJ328" s="824"/>
      <c r="AK328" s="824"/>
      <c r="AL328" s="824"/>
      <c r="AM328" s="824"/>
      <c r="AN328" s="824"/>
      <c r="AO328" s="824"/>
      <c r="AP328" s="824"/>
      <c r="AQ328" s="824"/>
      <c r="AR328" s="824"/>
      <c r="AS328" s="824"/>
      <c r="AT328" s="824"/>
      <c r="AU328" s="824"/>
      <c r="AV328" s="824"/>
    </row>
    <row r="329" spans="1:48" s="15" customFormat="1" x14ac:dyDescent="0.25">
      <c r="A329" s="1038"/>
      <c r="M329" s="16"/>
      <c r="T329" s="824"/>
      <c r="V329" s="1280"/>
      <c r="W329" s="1280"/>
      <c r="X329" s="1280"/>
      <c r="Y329" s="1280"/>
      <c r="Z329" s="1280"/>
      <c r="AA329" s="1280"/>
      <c r="AB329" s="1280"/>
      <c r="AC329" s="1280"/>
      <c r="AD329" s="824"/>
      <c r="AE329" s="824"/>
      <c r="AF329" s="824"/>
      <c r="AG329" s="824"/>
      <c r="AH329" s="824"/>
      <c r="AI329" s="824"/>
      <c r="AJ329" s="824"/>
      <c r="AK329" s="824"/>
      <c r="AL329" s="824"/>
      <c r="AM329" s="824"/>
      <c r="AN329" s="824"/>
      <c r="AO329" s="824"/>
      <c r="AP329" s="824"/>
      <c r="AQ329" s="824"/>
      <c r="AR329" s="824"/>
      <c r="AS329" s="824"/>
      <c r="AT329" s="824"/>
      <c r="AU329" s="824"/>
      <c r="AV329" s="824"/>
    </row>
    <row r="330" spans="1:48" s="15" customFormat="1" x14ac:dyDescent="0.25">
      <c r="A330" s="1038"/>
      <c r="M330" s="16"/>
      <c r="T330" s="824"/>
      <c r="V330" s="1280"/>
      <c r="W330" s="1280"/>
      <c r="X330" s="1280"/>
      <c r="Y330" s="1280"/>
      <c r="Z330" s="1280"/>
      <c r="AA330" s="1280"/>
      <c r="AB330" s="1280"/>
      <c r="AC330" s="1280"/>
      <c r="AD330" s="824"/>
      <c r="AE330" s="824"/>
      <c r="AF330" s="824"/>
      <c r="AG330" s="824"/>
      <c r="AH330" s="824"/>
      <c r="AI330" s="824"/>
      <c r="AJ330" s="824"/>
      <c r="AK330" s="824"/>
      <c r="AL330" s="824"/>
      <c r="AM330" s="824"/>
      <c r="AN330" s="824"/>
      <c r="AO330" s="824"/>
      <c r="AP330" s="824"/>
      <c r="AQ330" s="824"/>
      <c r="AR330" s="824"/>
      <c r="AS330" s="824"/>
      <c r="AT330" s="824"/>
      <c r="AU330" s="824"/>
      <c r="AV330" s="824"/>
    </row>
    <row r="331" spans="1:48" s="15" customFormat="1" x14ac:dyDescent="0.25">
      <c r="A331" s="1038"/>
      <c r="M331" s="16"/>
      <c r="T331" s="824"/>
      <c r="V331" s="1280"/>
      <c r="W331" s="1280"/>
      <c r="X331" s="1280"/>
      <c r="Y331" s="1280"/>
      <c r="Z331" s="1280"/>
      <c r="AA331" s="1280"/>
      <c r="AB331" s="1280"/>
      <c r="AC331" s="1280"/>
      <c r="AD331" s="824"/>
      <c r="AE331" s="824"/>
      <c r="AF331" s="824"/>
      <c r="AG331" s="824"/>
      <c r="AH331" s="824"/>
      <c r="AI331" s="824"/>
      <c r="AJ331" s="824"/>
      <c r="AK331" s="824"/>
      <c r="AL331" s="824"/>
      <c r="AM331" s="824"/>
      <c r="AN331" s="824"/>
      <c r="AO331" s="824"/>
      <c r="AP331" s="824"/>
      <c r="AQ331" s="824"/>
      <c r="AR331" s="824"/>
      <c r="AS331" s="824"/>
      <c r="AT331" s="824"/>
      <c r="AU331" s="824"/>
      <c r="AV331" s="824"/>
    </row>
    <row r="332" spans="1:48" s="15" customFormat="1" x14ac:dyDescent="0.25">
      <c r="A332" s="1038"/>
      <c r="M332" s="16"/>
      <c r="T332" s="824"/>
      <c r="V332" s="1280"/>
      <c r="W332" s="1280"/>
      <c r="X332" s="1280"/>
      <c r="Y332" s="1280"/>
      <c r="Z332" s="1280"/>
      <c r="AA332" s="1280"/>
      <c r="AB332" s="1280"/>
      <c r="AC332" s="1280"/>
      <c r="AD332" s="824"/>
      <c r="AE332" s="824"/>
      <c r="AF332" s="824"/>
      <c r="AG332" s="824"/>
      <c r="AH332" s="824"/>
      <c r="AI332" s="824"/>
      <c r="AJ332" s="824"/>
      <c r="AK332" s="824"/>
      <c r="AL332" s="824"/>
      <c r="AM332" s="824"/>
      <c r="AN332" s="824"/>
      <c r="AO332" s="824"/>
      <c r="AP332" s="824"/>
      <c r="AQ332" s="824"/>
      <c r="AR332" s="824"/>
      <c r="AS332" s="824"/>
      <c r="AT332" s="824"/>
      <c r="AU332" s="824"/>
      <c r="AV332" s="824"/>
    </row>
    <row r="333" spans="1:48" s="15" customFormat="1" x14ac:dyDescent="0.25">
      <c r="A333" s="1038"/>
      <c r="M333" s="16"/>
      <c r="T333" s="824"/>
      <c r="V333" s="1280"/>
      <c r="W333" s="1280"/>
      <c r="X333" s="1280"/>
      <c r="Y333" s="1280"/>
      <c r="Z333" s="1280"/>
      <c r="AA333" s="1280"/>
      <c r="AB333" s="1280"/>
      <c r="AC333" s="1280"/>
      <c r="AD333" s="824"/>
      <c r="AE333" s="824"/>
      <c r="AF333" s="824"/>
      <c r="AG333" s="824"/>
      <c r="AH333" s="824"/>
      <c r="AI333" s="824"/>
      <c r="AJ333" s="824"/>
      <c r="AK333" s="824"/>
      <c r="AL333" s="824"/>
      <c r="AM333" s="824"/>
      <c r="AN333" s="824"/>
      <c r="AO333" s="824"/>
      <c r="AP333" s="824"/>
      <c r="AQ333" s="824"/>
      <c r="AR333" s="824"/>
      <c r="AS333" s="824"/>
      <c r="AT333" s="824"/>
      <c r="AU333" s="824"/>
      <c r="AV333" s="824"/>
    </row>
    <row r="334" spans="1:48" s="15" customFormat="1" x14ac:dyDescent="0.25">
      <c r="A334" s="1038"/>
      <c r="M334" s="16"/>
      <c r="T334" s="824"/>
      <c r="V334" s="1280"/>
      <c r="W334" s="1280"/>
      <c r="X334" s="1280"/>
      <c r="Y334" s="1280"/>
      <c r="Z334" s="1280"/>
      <c r="AA334" s="1280"/>
      <c r="AB334" s="1280"/>
      <c r="AC334" s="1280"/>
      <c r="AD334" s="824"/>
      <c r="AE334" s="824"/>
      <c r="AF334" s="824"/>
      <c r="AG334" s="824"/>
      <c r="AH334" s="824"/>
      <c r="AI334" s="824"/>
      <c r="AJ334" s="824"/>
      <c r="AK334" s="824"/>
      <c r="AL334" s="824"/>
      <c r="AM334" s="824"/>
      <c r="AN334" s="824"/>
      <c r="AO334" s="824"/>
      <c r="AP334" s="824"/>
      <c r="AQ334" s="824"/>
      <c r="AR334" s="824"/>
      <c r="AS334" s="824"/>
      <c r="AT334" s="824"/>
      <c r="AU334" s="824"/>
      <c r="AV334" s="824"/>
    </row>
    <row r="335" spans="1:48" s="15" customFormat="1" x14ac:dyDescent="0.25">
      <c r="A335" s="1038"/>
      <c r="M335" s="16"/>
      <c r="T335" s="824"/>
      <c r="V335" s="1280"/>
      <c r="W335" s="1280"/>
      <c r="X335" s="1280"/>
      <c r="Y335" s="1280"/>
      <c r="Z335" s="1280"/>
      <c r="AA335" s="1280"/>
      <c r="AB335" s="1280"/>
      <c r="AC335" s="1280"/>
      <c r="AD335" s="824"/>
      <c r="AE335" s="824"/>
      <c r="AF335" s="824"/>
      <c r="AG335" s="824"/>
      <c r="AH335" s="824"/>
      <c r="AI335" s="824"/>
      <c r="AJ335" s="824"/>
      <c r="AK335" s="824"/>
      <c r="AL335" s="824"/>
      <c r="AM335" s="824"/>
      <c r="AN335" s="824"/>
      <c r="AO335" s="824"/>
      <c r="AP335" s="824"/>
      <c r="AQ335" s="824"/>
      <c r="AR335" s="824"/>
      <c r="AS335" s="824"/>
      <c r="AT335" s="824"/>
      <c r="AU335" s="824"/>
      <c r="AV335" s="824"/>
    </row>
    <row r="336" spans="1:48" s="15" customFormat="1" x14ac:dyDescent="0.25">
      <c r="A336" s="1038"/>
      <c r="M336" s="16"/>
      <c r="T336" s="824"/>
      <c r="V336" s="1280"/>
      <c r="W336" s="1280"/>
      <c r="X336" s="1280"/>
      <c r="Y336" s="1280"/>
      <c r="Z336" s="1280"/>
      <c r="AA336" s="1280"/>
      <c r="AB336" s="1280"/>
      <c r="AC336" s="1280"/>
      <c r="AD336" s="824"/>
      <c r="AE336" s="824"/>
      <c r="AF336" s="824"/>
      <c r="AG336" s="824"/>
      <c r="AH336" s="824"/>
      <c r="AI336" s="824"/>
      <c r="AJ336" s="824"/>
      <c r="AK336" s="824"/>
      <c r="AL336" s="824"/>
      <c r="AM336" s="824"/>
      <c r="AN336" s="824"/>
      <c r="AO336" s="824"/>
      <c r="AP336" s="824"/>
      <c r="AQ336" s="824"/>
      <c r="AR336" s="824"/>
      <c r="AS336" s="824"/>
      <c r="AT336" s="824"/>
      <c r="AU336" s="824"/>
      <c r="AV336" s="824"/>
    </row>
    <row r="337" spans="1:48" s="15" customFormat="1" x14ac:dyDescent="0.25">
      <c r="A337" s="1038"/>
      <c r="M337" s="16"/>
      <c r="T337" s="824"/>
      <c r="V337" s="1280"/>
      <c r="W337" s="1280"/>
      <c r="X337" s="1280"/>
      <c r="Y337" s="1280"/>
      <c r="Z337" s="1280"/>
      <c r="AA337" s="1280"/>
      <c r="AB337" s="1280"/>
      <c r="AC337" s="1280"/>
      <c r="AD337" s="824"/>
      <c r="AE337" s="824"/>
      <c r="AF337" s="824"/>
      <c r="AG337" s="824"/>
      <c r="AH337" s="824"/>
      <c r="AI337" s="824"/>
      <c r="AJ337" s="824"/>
      <c r="AK337" s="824"/>
      <c r="AL337" s="824"/>
      <c r="AM337" s="824"/>
      <c r="AN337" s="824"/>
      <c r="AO337" s="824"/>
      <c r="AP337" s="824"/>
      <c r="AQ337" s="824"/>
      <c r="AR337" s="824"/>
      <c r="AS337" s="824"/>
      <c r="AT337" s="824"/>
      <c r="AU337" s="824"/>
      <c r="AV337" s="824"/>
    </row>
    <row r="338" spans="1:48" s="15" customFormat="1" x14ac:dyDescent="0.25">
      <c r="A338" s="1038"/>
      <c r="M338" s="16"/>
      <c r="T338" s="824"/>
      <c r="V338" s="1280"/>
      <c r="W338" s="1280"/>
      <c r="X338" s="1280"/>
      <c r="Y338" s="1280"/>
      <c r="Z338" s="1280"/>
      <c r="AA338" s="1280"/>
      <c r="AB338" s="1280"/>
      <c r="AC338" s="1280"/>
      <c r="AD338" s="824"/>
      <c r="AE338" s="824"/>
      <c r="AF338" s="824"/>
      <c r="AG338" s="824"/>
      <c r="AH338" s="824"/>
      <c r="AI338" s="824"/>
      <c r="AJ338" s="824"/>
      <c r="AK338" s="824"/>
      <c r="AL338" s="824"/>
      <c r="AM338" s="824"/>
      <c r="AN338" s="824"/>
      <c r="AO338" s="824"/>
      <c r="AP338" s="824"/>
      <c r="AQ338" s="824"/>
      <c r="AR338" s="824"/>
      <c r="AS338" s="824"/>
      <c r="AT338" s="824"/>
      <c r="AU338" s="824"/>
      <c r="AV338" s="824"/>
    </row>
    <row r="339" spans="1:48" s="15" customFormat="1" x14ac:dyDescent="0.25">
      <c r="A339" s="1038"/>
      <c r="M339" s="16"/>
      <c r="T339" s="824"/>
      <c r="V339" s="1280"/>
      <c r="W339" s="1280"/>
      <c r="X339" s="1280"/>
      <c r="Y339" s="1280"/>
      <c r="Z339" s="1280"/>
      <c r="AA339" s="1280"/>
      <c r="AB339" s="1280"/>
      <c r="AC339" s="1280"/>
      <c r="AD339" s="824"/>
      <c r="AE339" s="824"/>
      <c r="AF339" s="824"/>
      <c r="AG339" s="824"/>
      <c r="AH339" s="824"/>
      <c r="AI339" s="824"/>
      <c r="AJ339" s="824"/>
      <c r="AK339" s="824"/>
      <c r="AL339" s="824"/>
      <c r="AM339" s="824"/>
      <c r="AN339" s="824"/>
      <c r="AO339" s="824"/>
      <c r="AP339" s="824"/>
      <c r="AQ339" s="824"/>
      <c r="AR339" s="824"/>
      <c r="AS339" s="824"/>
      <c r="AT339" s="824"/>
      <c r="AU339" s="824"/>
      <c r="AV339" s="824"/>
    </row>
    <row r="340" spans="1:48" s="15" customFormat="1" x14ac:dyDescent="0.25">
      <c r="A340" s="1038"/>
      <c r="M340" s="16"/>
      <c r="T340" s="824"/>
      <c r="V340" s="1280"/>
      <c r="W340" s="1280"/>
      <c r="X340" s="1280"/>
      <c r="Y340" s="1280"/>
      <c r="Z340" s="1280"/>
      <c r="AA340" s="1280"/>
      <c r="AB340" s="1280"/>
      <c r="AC340" s="1280"/>
      <c r="AD340" s="824"/>
      <c r="AE340" s="824"/>
      <c r="AF340" s="824"/>
      <c r="AG340" s="824"/>
      <c r="AH340" s="824"/>
      <c r="AI340" s="824"/>
      <c r="AJ340" s="824"/>
      <c r="AK340" s="824"/>
      <c r="AL340" s="824"/>
      <c r="AM340" s="824"/>
      <c r="AN340" s="824"/>
      <c r="AO340" s="824"/>
      <c r="AP340" s="824"/>
      <c r="AQ340" s="824"/>
      <c r="AR340" s="824"/>
      <c r="AS340" s="824"/>
      <c r="AT340" s="824"/>
      <c r="AU340" s="824"/>
      <c r="AV340" s="824"/>
    </row>
    <row r="341" spans="1:48" s="15" customFormat="1" x14ac:dyDescent="0.25">
      <c r="A341" s="1038"/>
      <c r="M341" s="16"/>
      <c r="T341" s="824"/>
      <c r="V341" s="1280"/>
      <c r="W341" s="1280"/>
      <c r="X341" s="1280"/>
      <c r="Y341" s="1280"/>
      <c r="Z341" s="1280"/>
      <c r="AA341" s="1280"/>
      <c r="AB341" s="1280"/>
      <c r="AC341" s="1280"/>
      <c r="AD341" s="824"/>
      <c r="AE341" s="824"/>
      <c r="AF341" s="824"/>
      <c r="AG341" s="824"/>
      <c r="AH341" s="824"/>
      <c r="AI341" s="824"/>
      <c r="AJ341" s="824"/>
      <c r="AK341" s="824"/>
      <c r="AL341" s="824"/>
      <c r="AM341" s="824"/>
      <c r="AN341" s="824"/>
      <c r="AO341" s="824"/>
      <c r="AP341" s="824"/>
      <c r="AQ341" s="824"/>
      <c r="AR341" s="824"/>
      <c r="AS341" s="824"/>
      <c r="AT341" s="824"/>
      <c r="AU341" s="824"/>
      <c r="AV341" s="824"/>
    </row>
    <row r="342" spans="1:48" s="15" customFormat="1" x14ac:dyDescent="0.25">
      <c r="A342" s="1038"/>
      <c r="M342" s="16"/>
      <c r="T342" s="824"/>
      <c r="V342" s="1280"/>
      <c r="W342" s="1280"/>
      <c r="X342" s="1280"/>
      <c r="Y342" s="1280"/>
      <c r="Z342" s="1280"/>
      <c r="AA342" s="1280"/>
      <c r="AB342" s="1280"/>
      <c r="AC342" s="1280"/>
      <c r="AD342" s="824"/>
      <c r="AE342" s="824"/>
      <c r="AF342" s="824"/>
      <c r="AG342" s="824"/>
      <c r="AH342" s="824"/>
      <c r="AI342" s="824"/>
      <c r="AJ342" s="824"/>
      <c r="AK342" s="824"/>
      <c r="AL342" s="824"/>
      <c r="AM342" s="824"/>
      <c r="AN342" s="824"/>
      <c r="AO342" s="824"/>
      <c r="AP342" s="824"/>
      <c r="AQ342" s="824"/>
      <c r="AR342" s="824"/>
      <c r="AS342" s="824"/>
      <c r="AT342" s="824"/>
      <c r="AU342" s="824"/>
      <c r="AV342" s="824"/>
    </row>
    <row r="343" spans="1:48" s="15" customFormat="1" x14ac:dyDescent="0.25">
      <c r="A343" s="1038"/>
      <c r="M343" s="16"/>
      <c r="T343" s="824"/>
      <c r="V343" s="1280"/>
      <c r="W343" s="1280"/>
      <c r="X343" s="1280"/>
      <c r="Y343" s="1280"/>
      <c r="Z343" s="1280"/>
      <c r="AA343" s="1280"/>
      <c r="AB343" s="1280"/>
      <c r="AC343" s="1280"/>
      <c r="AD343" s="824"/>
      <c r="AE343" s="824"/>
      <c r="AF343" s="824"/>
      <c r="AG343" s="824"/>
      <c r="AH343" s="824"/>
      <c r="AI343" s="824"/>
      <c r="AJ343" s="824"/>
      <c r="AK343" s="824"/>
      <c r="AL343" s="824"/>
      <c r="AM343" s="824"/>
      <c r="AN343" s="824"/>
      <c r="AO343" s="824"/>
      <c r="AP343" s="824"/>
      <c r="AQ343" s="824"/>
      <c r="AR343" s="824"/>
      <c r="AS343" s="824"/>
      <c r="AT343" s="824"/>
      <c r="AU343" s="824"/>
      <c r="AV343" s="824"/>
    </row>
    <row r="344" spans="1:48" s="15" customFormat="1" x14ac:dyDescent="0.25">
      <c r="A344" s="1038"/>
      <c r="M344" s="16"/>
      <c r="T344" s="824"/>
      <c r="V344" s="1280"/>
      <c r="W344" s="1280"/>
      <c r="X344" s="1280"/>
      <c r="Y344" s="1280"/>
      <c r="Z344" s="1280"/>
      <c r="AA344" s="1280"/>
      <c r="AB344" s="1280"/>
      <c r="AC344" s="1280"/>
      <c r="AD344" s="824"/>
      <c r="AE344" s="824"/>
      <c r="AF344" s="824"/>
      <c r="AG344" s="824"/>
      <c r="AH344" s="824"/>
      <c r="AI344" s="824"/>
      <c r="AJ344" s="824"/>
      <c r="AK344" s="824"/>
      <c r="AL344" s="824"/>
      <c r="AM344" s="824"/>
      <c r="AN344" s="824"/>
      <c r="AO344" s="824"/>
      <c r="AP344" s="824"/>
      <c r="AQ344" s="824"/>
      <c r="AR344" s="824"/>
      <c r="AS344" s="824"/>
      <c r="AT344" s="824"/>
      <c r="AU344" s="824"/>
      <c r="AV344" s="824"/>
    </row>
    <row r="345" spans="1:48" s="15" customFormat="1" x14ac:dyDescent="0.25">
      <c r="A345" s="1038"/>
      <c r="M345" s="16"/>
      <c r="T345" s="824"/>
      <c r="V345" s="1280"/>
      <c r="W345" s="1280"/>
      <c r="X345" s="1280"/>
      <c r="Y345" s="1280"/>
      <c r="Z345" s="1280"/>
      <c r="AA345" s="1280"/>
      <c r="AB345" s="1280"/>
      <c r="AC345" s="1280"/>
      <c r="AD345" s="824"/>
      <c r="AE345" s="824"/>
      <c r="AF345" s="824"/>
      <c r="AG345" s="824"/>
      <c r="AH345" s="824"/>
      <c r="AI345" s="824"/>
      <c r="AJ345" s="824"/>
      <c r="AK345" s="824"/>
      <c r="AL345" s="824"/>
      <c r="AM345" s="824"/>
      <c r="AN345" s="824"/>
      <c r="AO345" s="824"/>
      <c r="AP345" s="824"/>
      <c r="AQ345" s="824"/>
      <c r="AR345" s="824"/>
      <c r="AS345" s="824"/>
      <c r="AT345" s="824"/>
      <c r="AU345" s="824"/>
      <c r="AV345" s="824"/>
    </row>
    <row r="346" spans="1:48" s="15" customFormat="1" x14ac:dyDescent="0.25">
      <c r="A346" s="1038"/>
      <c r="M346" s="16"/>
      <c r="T346" s="824"/>
      <c r="V346" s="1280"/>
      <c r="W346" s="1280"/>
      <c r="X346" s="1280"/>
      <c r="Y346" s="1280"/>
      <c r="Z346" s="1280"/>
      <c r="AA346" s="1280"/>
      <c r="AB346" s="1280"/>
      <c r="AC346" s="1280"/>
      <c r="AD346" s="824"/>
      <c r="AE346" s="824"/>
      <c r="AF346" s="824"/>
      <c r="AG346" s="824"/>
      <c r="AH346" s="824"/>
      <c r="AI346" s="824"/>
      <c r="AJ346" s="824"/>
      <c r="AK346" s="824"/>
      <c r="AL346" s="824"/>
      <c r="AM346" s="824"/>
      <c r="AN346" s="824"/>
      <c r="AO346" s="824"/>
      <c r="AP346" s="824"/>
      <c r="AQ346" s="824"/>
      <c r="AR346" s="824"/>
      <c r="AS346" s="824"/>
      <c r="AT346" s="824"/>
      <c r="AU346" s="824"/>
      <c r="AV346" s="824"/>
    </row>
    <row r="347" spans="1:48" s="15" customFormat="1" x14ac:dyDescent="0.25">
      <c r="A347" s="1038"/>
      <c r="M347" s="16"/>
      <c r="T347" s="824"/>
      <c r="V347" s="1280"/>
      <c r="W347" s="1280"/>
      <c r="X347" s="1280"/>
      <c r="Y347" s="1280"/>
      <c r="Z347" s="1280"/>
      <c r="AA347" s="1280"/>
      <c r="AB347" s="1280"/>
      <c r="AC347" s="1280"/>
      <c r="AD347" s="824"/>
      <c r="AE347" s="824"/>
      <c r="AF347" s="824"/>
      <c r="AG347" s="824"/>
      <c r="AH347" s="824"/>
      <c r="AI347" s="824"/>
      <c r="AJ347" s="824"/>
      <c r="AK347" s="824"/>
      <c r="AL347" s="824"/>
      <c r="AM347" s="824"/>
      <c r="AN347" s="824"/>
      <c r="AO347" s="824"/>
      <c r="AP347" s="824"/>
      <c r="AQ347" s="824"/>
      <c r="AR347" s="824"/>
      <c r="AS347" s="824"/>
      <c r="AT347" s="824"/>
      <c r="AU347" s="824"/>
      <c r="AV347" s="824"/>
    </row>
    <row r="348" spans="1:48" s="15" customFormat="1" x14ac:dyDescent="0.25">
      <c r="A348" s="1038"/>
      <c r="M348" s="16"/>
      <c r="T348" s="824"/>
      <c r="V348" s="1280"/>
      <c r="W348" s="1280"/>
      <c r="X348" s="1280"/>
      <c r="Y348" s="1280"/>
      <c r="Z348" s="1280"/>
      <c r="AA348" s="1280"/>
      <c r="AB348" s="1280"/>
      <c r="AC348" s="1280"/>
      <c r="AD348" s="824"/>
      <c r="AE348" s="824"/>
      <c r="AF348" s="824"/>
      <c r="AG348" s="824"/>
      <c r="AH348" s="824"/>
      <c r="AI348" s="824"/>
      <c r="AJ348" s="824"/>
      <c r="AK348" s="824"/>
      <c r="AL348" s="824"/>
      <c r="AM348" s="824"/>
      <c r="AN348" s="824"/>
      <c r="AO348" s="824"/>
      <c r="AP348" s="824"/>
      <c r="AQ348" s="824"/>
      <c r="AR348" s="824"/>
      <c r="AS348" s="824"/>
      <c r="AT348" s="824"/>
      <c r="AU348" s="824"/>
      <c r="AV348" s="824"/>
    </row>
    <row r="349" spans="1:48" s="15" customFormat="1" x14ac:dyDescent="0.25">
      <c r="A349" s="1038"/>
      <c r="M349" s="16"/>
      <c r="T349" s="824"/>
      <c r="V349" s="1280"/>
      <c r="W349" s="1280"/>
      <c r="X349" s="1280"/>
      <c r="Y349" s="1280"/>
      <c r="Z349" s="1280"/>
      <c r="AA349" s="1280"/>
      <c r="AB349" s="1280"/>
      <c r="AC349" s="1280"/>
      <c r="AD349" s="824"/>
      <c r="AE349" s="824"/>
      <c r="AF349" s="824"/>
      <c r="AG349" s="824"/>
      <c r="AH349" s="824"/>
      <c r="AI349" s="824"/>
      <c r="AJ349" s="824"/>
      <c r="AK349" s="824"/>
      <c r="AL349" s="824"/>
      <c r="AM349" s="824"/>
      <c r="AN349" s="824"/>
      <c r="AO349" s="824"/>
      <c r="AP349" s="824"/>
      <c r="AQ349" s="824"/>
      <c r="AR349" s="824"/>
      <c r="AS349" s="824"/>
      <c r="AT349" s="824"/>
      <c r="AU349" s="824"/>
      <c r="AV349" s="824"/>
    </row>
    <row r="350" spans="1:48" s="15" customFormat="1" x14ac:dyDescent="0.25">
      <c r="A350" s="1038"/>
      <c r="M350" s="16"/>
      <c r="T350" s="824"/>
      <c r="V350" s="1280"/>
      <c r="W350" s="1280"/>
      <c r="X350" s="1280"/>
      <c r="Y350" s="1280"/>
      <c r="Z350" s="1280"/>
      <c r="AA350" s="1280"/>
      <c r="AB350" s="1280"/>
      <c r="AC350" s="1280"/>
      <c r="AD350" s="824"/>
      <c r="AE350" s="824"/>
      <c r="AF350" s="824"/>
      <c r="AG350" s="824"/>
      <c r="AH350" s="824"/>
      <c r="AI350" s="824"/>
      <c r="AJ350" s="824"/>
      <c r="AK350" s="824"/>
      <c r="AL350" s="824"/>
      <c r="AM350" s="824"/>
      <c r="AN350" s="824"/>
      <c r="AO350" s="824"/>
      <c r="AP350" s="824"/>
      <c r="AQ350" s="824"/>
      <c r="AR350" s="824"/>
      <c r="AS350" s="824"/>
      <c r="AT350" s="824"/>
      <c r="AU350" s="824"/>
      <c r="AV350" s="824"/>
    </row>
    <row r="351" spans="1:48" s="15" customFormat="1" x14ac:dyDescent="0.25">
      <c r="A351" s="1038"/>
      <c r="M351" s="16"/>
      <c r="T351" s="824"/>
      <c r="V351" s="1280"/>
      <c r="W351" s="1280"/>
      <c r="X351" s="1280"/>
      <c r="Y351" s="1280"/>
      <c r="Z351" s="1280"/>
      <c r="AA351" s="1280"/>
      <c r="AB351" s="1280"/>
      <c r="AC351" s="1280"/>
      <c r="AD351" s="824"/>
      <c r="AE351" s="824"/>
      <c r="AF351" s="824"/>
      <c r="AG351" s="824"/>
      <c r="AH351" s="824"/>
      <c r="AI351" s="824"/>
      <c r="AJ351" s="824"/>
      <c r="AK351" s="824"/>
      <c r="AL351" s="824"/>
      <c r="AM351" s="824"/>
      <c r="AN351" s="824"/>
      <c r="AO351" s="824"/>
      <c r="AP351" s="824"/>
      <c r="AQ351" s="824"/>
      <c r="AR351" s="824"/>
      <c r="AS351" s="824"/>
      <c r="AT351" s="824"/>
      <c r="AU351" s="824"/>
      <c r="AV351" s="824"/>
    </row>
    <row r="352" spans="1:48" s="15" customFormat="1" x14ac:dyDescent="0.25">
      <c r="A352" s="1038"/>
      <c r="M352" s="16"/>
      <c r="T352" s="824"/>
      <c r="V352" s="1280"/>
      <c r="W352" s="1280"/>
      <c r="X352" s="1280"/>
      <c r="Y352" s="1280"/>
      <c r="Z352" s="1280"/>
      <c r="AA352" s="1280"/>
      <c r="AB352" s="1280"/>
      <c r="AC352" s="1280"/>
      <c r="AD352" s="824"/>
      <c r="AE352" s="824"/>
      <c r="AF352" s="824"/>
      <c r="AG352" s="824"/>
      <c r="AH352" s="824"/>
      <c r="AI352" s="824"/>
      <c r="AJ352" s="824"/>
      <c r="AK352" s="824"/>
      <c r="AL352" s="824"/>
      <c r="AM352" s="824"/>
      <c r="AN352" s="824"/>
      <c r="AO352" s="824"/>
      <c r="AP352" s="824"/>
      <c r="AQ352" s="824"/>
      <c r="AR352" s="824"/>
      <c r="AS352" s="824"/>
      <c r="AT352" s="824"/>
      <c r="AU352" s="824"/>
      <c r="AV352" s="824"/>
    </row>
    <row r="353" spans="1:48" s="15" customFormat="1" x14ac:dyDescent="0.25">
      <c r="A353" s="1038"/>
      <c r="M353" s="16"/>
      <c r="T353" s="824"/>
      <c r="V353" s="1280"/>
      <c r="W353" s="1280"/>
      <c r="X353" s="1280"/>
      <c r="Y353" s="1280"/>
      <c r="Z353" s="1280"/>
      <c r="AA353" s="1280"/>
      <c r="AB353" s="1280"/>
      <c r="AC353" s="1280"/>
      <c r="AD353" s="824"/>
      <c r="AE353" s="824"/>
      <c r="AF353" s="824"/>
      <c r="AG353" s="824"/>
      <c r="AH353" s="824"/>
      <c r="AI353" s="824"/>
      <c r="AJ353" s="824"/>
      <c r="AK353" s="824"/>
      <c r="AL353" s="824"/>
      <c r="AM353" s="824"/>
      <c r="AN353" s="824"/>
      <c r="AO353" s="824"/>
      <c r="AP353" s="824"/>
      <c r="AQ353" s="824"/>
      <c r="AR353" s="824"/>
      <c r="AS353" s="824"/>
      <c r="AT353" s="824"/>
      <c r="AU353" s="824"/>
      <c r="AV353" s="824"/>
    </row>
    <row r="354" spans="1:48" s="15" customFormat="1" x14ac:dyDescent="0.25">
      <c r="A354" s="1038"/>
      <c r="M354" s="16"/>
      <c r="T354" s="824"/>
      <c r="V354" s="1280"/>
      <c r="W354" s="1280"/>
      <c r="X354" s="1280"/>
      <c r="Y354" s="1280"/>
      <c r="Z354" s="1280"/>
      <c r="AA354" s="1280"/>
      <c r="AB354" s="1280"/>
      <c r="AC354" s="1280"/>
      <c r="AD354" s="824"/>
      <c r="AE354" s="824"/>
      <c r="AF354" s="824"/>
      <c r="AG354" s="824"/>
      <c r="AH354" s="824"/>
      <c r="AI354" s="824"/>
      <c r="AJ354" s="824"/>
      <c r="AK354" s="824"/>
      <c r="AL354" s="824"/>
      <c r="AM354" s="824"/>
      <c r="AN354" s="824"/>
      <c r="AO354" s="824"/>
      <c r="AP354" s="824"/>
      <c r="AQ354" s="824"/>
      <c r="AR354" s="824"/>
      <c r="AS354" s="824"/>
      <c r="AT354" s="824"/>
      <c r="AU354" s="824"/>
      <c r="AV354" s="824"/>
    </row>
    <row r="355" spans="1:48" s="15" customFormat="1" x14ac:dyDescent="0.25">
      <c r="A355" s="1038"/>
      <c r="M355" s="16"/>
      <c r="T355" s="824"/>
      <c r="V355" s="1280"/>
      <c r="W355" s="1280"/>
      <c r="X355" s="1280"/>
      <c r="Y355" s="1280"/>
      <c r="Z355" s="1280"/>
      <c r="AA355" s="1280"/>
      <c r="AB355" s="1280"/>
      <c r="AC355" s="1280"/>
      <c r="AD355" s="824"/>
      <c r="AE355" s="824"/>
      <c r="AF355" s="824"/>
      <c r="AG355" s="824"/>
      <c r="AH355" s="824"/>
      <c r="AI355" s="824"/>
      <c r="AJ355" s="824"/>
      <c r="AK355" s="824"/>
      <c r="AL355" s="824"/>
      <c r="AM355" s="824"/>
      <c r="AN355" s="824"/>
      <c r="AO355" s="824"/>
      <c r="AP355" s="824"/>
      <c r="AQ355" s="824"/>
      <c r="AR355" s="824"/>
      <c r="AS355" s="824"/>
      <c r="AT355" s="824"/>
      <c r="AU355" s="824"/>
      <c r="AV355" s="824"/>
    </row>
    <row r="356" spans="1:48" s="15" customFormat="1" x14ac:dyDescent="0.25">
      <c r="A356" s="1038"/>
      <c r="M356" s="16"/>
      <c r="T356" s="824"/>
      <c r="V356" s="1280"/>
      <c r="W356" s="1280"/>
      <c r="X356" s="1280"/>
      <c r="Y356" s="1280"/>
      <c r="Z356" s="1280"/>
      <c r="AA356" s="1280"/>
      <c r="AB356" s="1280"/>
      <c r="AC356" s="1280"/>
      <c r="AD356" s="824"/>
      <c r="AE356" s="824"/>
      <c r="AF356" s="824"/>
      <c r="AG356" s="824"/>
      <c r="AH356" s="824"/>
      <c r="AI356" s="824"/>
      <c r="AJ356" s="824"/>
      <c r="AK356" s="824"/>
      <c r="AL356" s="824"/>
      <c r="AM356" s="824"/>
      <c r="AN356" s="824"/>
      <c r="AO356" s="824"/>
      <c r="AP356" s="824"/>
      <c r="AQ356" s="824"/>
      <c r="AR356" s="824"/>
      <c r="AS356" s="824"/>
      <c r="AT356" s="824"/>
      <c r="AU356" s="824"/>
      <c r="AV356" s="824"/>
    </row>
    <row r="357" spans="1:48" s="15" customFormat="1" x14ac:dyDescent="0.25">
      <c r="A357" s="1038"/>
      <c r="M357" s="16"/>
      <c r="T357" s="824"/>
      <c r="V357" s="1280"/>
      <c r="W357" s="1280"/>
      <c r="X357" s="1280"/>
      <c r="Y357" s="1280"/>
      <c r="Z357" s="1280"/>
      <c r="AA357" s="1280"/>
      <c r="AB357" s="1280"/>
      <c r="AC357" s="1280"/>
      <c r="AD357" s="824"/>
      <c r="AE357" s="824"/>
      <c r="AF357" s="824"/>
      <c r="AG357" s="824"/>
      <c r="AH357" s="824"/>
      <c r="AI357" s="824"/>
      <c r="AJ357" s="824"/>
      <c r="AK357" s="824"/>
      <c r="AL357" s="824"/>
      <c r="AM357" s="824"/>
      <c r="AN357" s="824"/>
      <c r="AO357" s="824"/>
      <c r="AP357" s="824"/>
      <c r="AQ357" s="824"/>
      <c r="AR357" s="824"/>
      <c r="AS357" s="824"/>
      <c r="AT357" s="824"/>
      <c r="AU357" s="824"/>
      <c r="AV357" s="824"/>
    </row>
    <row r="358" spans="1:48" s="15" customFormat="1" x14ac:dyDescent="0.25">
      <c r="A358" s="1038"/>
      <c r="M358" s="16"/>
      <c r="T358" s="824"/>
      <c r="V358" s="1280"/>
      <c r="W358" s="1280"/>
      <c r="X358" s="1280"/>
      <c r="Y358" s="1280"/>
      <c r="Z358" s="1280"/>
      <c r="AA358" s="1280"/>
      <c r="AB358" s="1280"/>
      <c r="AC358" s="1280"/>
      <c r="AD358" s="824"/>
      <c r="AE358" s="824"/>
      <c r="AF358" s="824"/>
      <c r="AG358" s="824"/>
      <c r="AH358" s="824"/>
      <c r="AI358" s="824"/>
      <c r="AJ358" s="824"/>
      <c r="AK358" s="824"/>
      <c r="AL358" s="824"/>
      <c r="AM358" s="824"/>
      <c r="AN358" s="824"/>
      <c r="AO358" s="824"/>
      <c r="AP358" s="824"/>
      <c r="AQ358" s="824"/>
      <c r="AR358" s="824"/>
      <c r="AS358" s="824"/>
      <c r="AT358" s="824"/>
      <c r="AU358" s="824"/>
      <c r="AV358" s="824"/>
    </row>
    <row r="359" spans="1:48" s="15" customFormat="1" x14ac:dyDescent="0.25">
      <c r="A359" s="1038"/>
      <c r="M359" s="16"/>
      <c r="T359" s="824"/>
      <c r="V359" s="1280"/>
      <c r="W359" s="1280"/>
      <c r="X359" s="1280"/>
      <c r="Y359" s="1280"/>
      <c r="Z359" s="1280"/>
      <c r="AA359" s="1280"/>
      <c r="AB359" s="1280"/>
      <c r="AC359" s="1280"/>
      <c r="AD359" s="824"/>
      <c r="AE359" s="824"/>
      <c r="AF359" s="824"/>
      <c r="AG359" s="824"/>
      <c r="AH359" s="824"/>
      <c r="AI359" s="824"/>
      <c r="AJ359" s="824"/>
      <c r="AK359" s="824"/>
      <c r="AL359" s="824"/>
      <c r="AM359" s="824"/>
      <c r="AN359" s="824"/>
      <c r="AO359" s="824"/>
      <c r="AP359" s="824"/>
      <c r="AQ359" s="824"/>
      <c r="AR359" s="824"/>
      <c r="AS359" s="824"/>
      <c r="AT359" s="824"/>
      <c r="AU359" s="824"/>
      <c r="AV359" s="824"/>
    </row>
    <row r="360" spans="1:48" s="15" customFormat="1" x14ac:dyDescent="0.25">
      <c r="A360" s="1038"/>
      <c r="M360" s="16"/>
      <c r="T360" s="824"/>
      <c r="V360" s="1280"/>
      <c r="W360" s="1280"/>
      <c r="X360" s="1280"/>
      <c r="Y360" s="1280"/>
      <c r="Z360" s="1280"/>
      <c r="AA360" s="1280"/>
      <c r="AB360" s="1280"/>
      <c r="AC360" s="1280"/>
      <c r="AD360" s="824"/>
      <c r="AE360" s="824"/>
      <c r="AF360" s="824"/>
      <c r="AG360" s="824"/>
      <c r="AH360" s="824"/>
      <c r="AI360" s="824"/>
      <c r="AJ360" s="824"/>
      <c r="AK360" s="824"/>
      <c r="AL360" s="824"/>
      <c r="AM360" s="824"/>
      <c r="AN360" s="824"/>
      <c r="AO360" s="824"/>
      <c r="AP360" s="824"/>
      <c r="AQ360" s="824"/>
      <c r="AR360" s="824"/>
      <c r="AS360" s="824"/>
      <c r="AT360" s="824"/>
      <c r="AU360" s="824"/>
      <c r="AV360" s="824"/>
    </row>
    <row r="361" spans="1:48" s="15" customFormat="1" x14ac:dyDescent="0.25">
      <c r="A361" s="1038"/>
      <c r="M361" s="16"/>
      <c r="T361" s="824"/>
      <c r="V361" s="1280"/>
      <c r="W361" s="1280"/>
      <c r="X361" s="1280"/>
      <c r="Y361" s="1280"/>
      <c r="Z361" s="1280"/>
      <c r="AA361" s="1280"/>
      <c r="AB361" s="1280"/>
      <c r="AC361" s="1280"/>
      <c r="AD361" s="824"/>
      <c r="AE361" s="824"/>
      <c r="AF361" s="824"/>
      <c r="AG361" s="824"/>
      <c r="AH361" s="824"/>
      <c r="AI361" s="824"/>
      <c r="AJ361" s="824"/>
      <c r="AK361" s="824"/>
      <c r="AL361" s="824"/>
      <c r="AM361" s="824"/>
      <c r="AN361" s="824"/>
      <c r="AO361" s="824"/>
      <c r="AP361" s="824"/>
      <c r="AQ361" s="824"/>
      <c r="AR361" s="824"/>
      <c r="AS361" s="824"/>
      <c r="AT361" s="824"/>
      <c r="AU361" s="824"/>
      <c r="AV361" s="824"/>
    </row>
    <row r="362" spans="1:48" s="15" customFormat="1" x14ac:dyDescent="0.25">
      <c r="A362" s="1038"/>
      <c r="M362" s="16"/>
      <c r="T362" s="824"/>
      <c r="V362" s="1280"/>
      <c r="W362" s="1280"/>
      <c r="X362" s="1280"/>
      <c r="Y362" s="1280"/>
      <c r="Z362" s="1280"/>
      <c r="AA362" s="1280"/>
      <c r="AB362" s="1280"/>
      <c r="AC362" s="1280"/>
      <c r="AD362" s="824"/>
      <c r="AE362" s="824"/>
      <c r="AF362" s="824"/>
      <c r="AG362" s="824"/>
      <c r="AH362" s="824"/>
      <c r="AI362" s="824"/>
      <c r="AJ362" s="824"/>
      <c r="AK362" s="824"/>
      <c r="AL362" s="824"/>
      <c r="AM362" s="824"/>
      <c r="AN362" s="824"/>
      <c r="AO362" s="824"/>
      <c r="AP362" s="824"/>
      <c r="AQ362" s="824"/>
      <c r="AR362" s="824"/>
      <c r="AS362" s="824"/>
      <c r="AT362" s="824"/>
      <c r="AU362" s="824"/>
      <c r="AV362" s="824"/>
    </row>
    <row r="363" spans="1:48" s="15" customFormat="1" x14ac:dyDescent="0.25">
      <c r="A363" s="1038"/>
      <c r="M363" s="16"/>
      <c r="T363" s="824"/>
      <c r="V363" s="1280"/>
      <c r="W363" s="1280"/>
      <c r="X363" s="1280"/>
      <c r="Y363" s="1280"/>
      <c r="Z363" s="1280"/>
      <c r="AA363" s="1280"/>
      <c r="AB363" s="1280"/>
      <c r="AC363" s="1280"/>
      <c r="AD363" s="824"/>
      <c r="AE363" s="824"/>
      <c r="AF363" s="824"/>
      <c r="AG363" s="824"/>
      <c r="AH363" s="824"/>
      <c r="AI363" s="824"/>
      <c r="AJ363" s="824"/>
      <c r="AK363" s="824"/>
      <c r="AL363" s="824"/>
      <c r="AM363" s="824"/>
      <c r="AN363" s="824"/>
      <c r="AO363" s="824"/>
      <c r="AP363" s="824"/>
      <c r="AQ363" s="824"/>
      <c r="AR363" s="824"/>
      <c r="AS363" s="824"/>
      <c r="AT363" s="824"/>
      <c r="AU363" s="824"/>
      <c r="AV363" s="824"/>
    </row>
    <row r="364" spans="1:48" s="15" customFormat="1" x14ac:dyDescent="0.25">
      <c r="A364" s="1038"/>
      <c r="M364" s="16"/>
      <c r="T364" s="824"/>
      <c r="V364" s="1280"/>
      <c r="W364" s="1280"/>
      <c r="X364" s="1280"/>
      <c r="Y364" s="1280"/>
      <c r="Z364" s="1280"/>
      <c r="AA364" s="1280"/>
      <c r="AB364" s="1280"/>
      <c r="AC364" s="1280"/>
      <c r="AD364" s="824"/>
      <c r="AE364" s="824"/>
      <c r="AF364" s="824"/>
      <c r="AG364" s="824"/>
      <c r="AH364" s="824"/>
      <c r="AI364" s="824"/>
      <c r="AJ364" s="824"/>
      <c r="AK364" s="824"/>
      <c r="AL364" s="824"/>
      <c r="AM364" s="824"/>
      <c r="AN364" s="824"/>
      <c r="AO364" s="824"/>
      <c r="AP364" s="824"/>
      <c r="AQ364" s="824"/>
      <c r="AR364" s="824"/>
      <c r="AS364" s="824"/>
      <c r="AT364" s="824"/>
      <c r="AU364" s="824"/>
      <c r="AV364" s="824"/>
    </row>
    <row r="365" spans="1:48" s="15" customFormat="1" x14ac:dyDescent="0.25">
      <c r="A365" s="1038"/>
      <c r="M365" s="16"/>
      <c r="T365" s="824"/>
      <c r="V365" s="1280"/>
      <c r="W365" s="1280"/>
      <c r="X365" s="1280"/>
      <c r="Y365" s="1280"/>
      <c r="Z365" s="1280"/>
      <c r="AA365" s="1280"/>
      <c r="AB365" s="1280"/>
      <c r="AC365" s="1280"/>
      <c r="AD365" s="824"/>
      <c r="AE365" s="824"/>
      <c r="AF365" s="824"/>
      <c r="AG365" s="824"/>
      <c r="AH365" s="824"/>
      <c r="AI365" s="824"/>
      <c r="AJ365" s="824"/>
      <c r="AK365" s="824"/>
      <c r="AL365" s="824"/>
      <c r="AM365" s="824"/>
      <c r="AN365" s="824"/>
      <c r="AO365" s="824"/>
      <c r="AP365" s="824"/>
      <c r="AQ365" s="824"/>
      <c r="AR365" s="824"/>
      <c r="AS365" s="824"/>
      <c r="AT365" s="824"/>
      <c r="AU365" s="824"/>
      <c r="AV365" s="824"/>
    </row>
    <row r="366" spans="1:48" s="15" customFormat="1" x14ac:dyDescent="0.25">
      <c r="A366" s="1038"/>
      <c r="M366" s="16"/>
      <c r="T366" s="824"/>
      <c r="V366" s="1280"/>
      <c r="W366" s="1280"/>
      <c r="X366" s="1280"/>
      <c r="Y366" s="1280"/>
      <c r="Z366" s="1280"/>
      <c r="AA366" s="1280"/>
      <c r="AB366" s="1280"/>
      <c r="AC366" s="1280"/>
      <c r="AD366" s="824"/>
      <c r="AE366" s="824"/>
      <c r="AF366" s="824"/>
      <c r="AG366" s="824"/>
      <c r="AH366" s="824"/>
      <c r="AI366" s="824"/>
      <c r="AJ366" s="824"/>
      <c r="AK366" s="824"/>
      <c r="AL366" s="824"/>
      <c r="AM366" s="824"/>
      <c r="AN366" s="824"/>
      <c r="AO366" s="824"/>
      <c r="AP366" s="824"/>
      <c r="AQ366" s="824"/>
      <c r="AR366" s="824"/>
      <c r="AS366" s="824"/>
      <c r="AT366" s="824"/>
      <c r="AU366" s="824"/>
      <c r="AV366" s="824"/>
    </row>
    <row r="367" spans="1:48" s="15" customFormat="1" x14ac:dyDescent="0.25">
      <c r="A367" s="1038"/>
      <c r="M367" s="16"/>
      <c r="T367" s="824"/>
      <c r="V367" s="1280"/>
      <c r="W367" s="1280"/>
      <c r="X367" s="1280"/>
      <c r="Y367" s="1280"/>
      <c r="Z367" s="1280"/>
      <c r="AA367" s="1280"/>
      <c r="AB367" s="1280"/>
      <c r="AC367" s="1280"/>
      <c r="AD367" s="824"/>
      <c r="AE367" s="824"/>
      <c r="AF367" s="824"/>
      <c r="AG367" s="824"/>
      <c r="AH367" s="824"/>
      <c r="AI367" s="824"/>
      <c r="AJ367" s="824"/>
      <c r="AK367" s="824"/>
      <c r="AL367" s="824"/>
      <c r="AM367" s="824"/>
      <c r="AN367" s="824"/>
      <c r="AO367" s="824"/>
      <c r="AP367" s="824"/>
      <c r="AQ367" s="824"/>
      <c r="AR367" s="824"/>
      <c r="AS367" s="824"/>
      <c r="AT367" s="824"/>
      <c r="AU367" s="824"/>
      <c r="AV367" s="824"/>
    </row>
    <row r="368" spans="1:48" s="15" customFormat="1" x14ac:dyDescent="0.25">
      <c r="A368" s="1038"/>
      <c r="M368" s="16"/>
      <c r="T368" s="824"/>
      <c r="V368" s="1280"/>
      <c r="W368" s="1280"/>
      <c r="X368" s="1280"/>
      <c r="Y368" s="1280"/>
      <c r="Z368" s="1280"/>
      <c r="AA368" s="1280"/>
      <c r="AB368" s="1280"/>
      <c r="AC368" s="1280"/>
      <c r="AD368" s="824"/>
      <c r="AE368" s="824"/>
      <c r="AF368" s="824"/>
      <c r="AG368" s="824"/>
      <c r="AH368" s="824"/>
      <c r="AI368" s="824"/>
      <c r="AJ368" s="824"/>
      <c r="AK368" s="824"/>
      <c r="AL368" s="824"/>
      <c r="AM368" s="824"/>
      <c r="AN368" s="824"/>
      <c r="AO368" s="824"/>
      <c r="AP368" s="824"/>
      <c r="AQ368" s="824"/>
      <c r="AR368" s="824"/>
      <c r="AS368" s="824"/>
      <c r="AT368" s="824"/>
      <c r="AU368" s="824"/>
      <c r="AV368" s="824"/>
    </row>
    <row r="369" spans="1:48" s="15" customFormat="1" x14ac:dyDescent="0.25">
      <c r="A369" s="1038"/>
      <c r="M369" s="16"/>
      <c r="T369" s="824"/>
      <c r="V369" s="1280"/>
      <c r="W369" s="1280"/>
      <c r="X369" s="1280"/>
      <c r="Y369" s="1280"/>
      <c r="Z369" s="1280"/>
      <c r="AA369" s="1280"/>
      <c r="AB369" s="1280"/>
      <c r="AC369" s="1280"/>
      <c r="AD369" s="824"/>
      <c r="AE369" s="824"/>
      <c r="AF369" s="824"/>
      <c r="AG369" s="824"/>
      <c r="AH369" s="824"/>
      <c r="AI369" s="824"/>
      <c r="AJ369" s="824"/>
      <c r="AK369" s="824"/>
      <c r="AL369" s="824"/>
      <c r="AM369" s="824"/>
      <c r="AN369" s="824"/>
      <c r="AO369" s="824"/>
      <c r="AP369" s="824"/>
      <c r="AQ369" s="824"/>
      <c r="AR369" s="824"/>
      <c r="AS369" s="824"/>
      <c r="AT369" s="824"/>
      <c r="AU369" s="824"/>
      <c r="AV369" s="824"/>
    </row>
    <row r="370" spans="1:48" s="15" customFormat="1" x14ac:dyDescent="0.25">
      <c r="A370" s="1038"/>
      <c r="M370" s="16"/>
      <c r="T370" s="824"/>
      <c r="V370" s="1280"/>
      <c r="W370" s="1280"/>
      <c r="X370" s="1280"/>
      <c r="Y370" s="1280"/>
      <c r="Z370" s="1280"/>
      <c r="AA370" s="1280"/>
      <c r="AB370" s="1280"/>
      <c r="AC370" s="1280"/>
      <c r="AD370" s="824"/>
      <c r="AE370" s="824"/>
      <c r="AF370" s="824"/>
      <c r="AG370" s="824"/>
      <c r="AH370" s="824"/>
      <c r="AI370" s="824"/>
      <c r="AJ370" s="824"/>
      <c r="AK370" s="824"/>
      <c r="AL370" s="824"/>
      <c r="AM370" s="824"/>
      <c r="AN370" s="824"/>
      <c r="AO370" s="824"/>
      <c r="AP370" s="824"/>
      <c r="AQ370" s="824"/>
      <c r="AR370" s="824"/>
      <c r="AS370" s="824"/>
      <c r="AT370" s="824"/>
      <c r="AU370" s="824"/>
      <c r="AV370" s="824"/>
    </row>
    <row r="371" spans="1:48" s="15" customFormat="1" x14ac:dyDescent="0.25">
      <c r="A371" s="1038"/>
      <c r="M371" s="16"/>
      <c r="T371" s="824"/>
      <c r="V371" s="1280"/>
      <c r="W371" s="1280"/>
      <c r="X371" s="1280"/>
      <c r="Y371" s="1280"/>
      <c r="Z371" s="1280"/>
      <c r="AA371" s="1280"/>
      <c r="AB371" s="1280"/>
      <c r="AC371" s="1280"/>
      <c r="AD371" s="824"/>
      <c r="AE371" s="824"/>
      <c r="AF371" s="824"/>
      <c r="AG371" s="824"/>
      <c r="AH371" s="824"/>
      <c r="AI371" s="824"/>
      <c r="AJ371" s="824"/>
      <c r="AK371" s="824"/>
      <c r="AL371" s="824"/>
      <c r="AM371" s="824"/>
      <c r="AN371" s="824"/>
      <c r="AO371" s="824"/>
      <c r="AP371" s="824"/>
      <c r="AQ371" s="824"/>
      <c r="AR371" s="824"/>
      <c r="AS371" s="824"/>
      <c r="AT371" s="824"/>
      <c r="AU371" s="824"/>
      <c r="AV371" s="824"/>
    </row>
    <row r="372" spans="1:48" s="15" customFormat="1" x14ac:dyDescent="0.25">
      <c r="A372" s="1038"/>
      <c r="M372" s="16"/>
      <c r="T372" s="824"/>
      <c r="V372" s="1280"/>
      <c r="W372" s="1280"/>
      <c r="X372" s="1280"/>
      <c r="Y372" s="1280"/>
      <c r="Z372" s="1280"/>
      <c r="AA372" s="1280"/>
      <c r="AB372" s="1280"/>
      <c r="AC372" s="1280"/>
      <c r="AD372" s="824"/>
      <c r="AE372" s="824"/>
      <c r="AF372" s="824"/>
      <c r="AG372" s="824"/>
      <c r="AH372" s="824"/>
      <c r="AI372" s="824"/>
      <c r="AJ372" s="824"/>
      <c r="AK372" s="824"/>
      <c r="AL372" s="824"/>
      <c r="AM372" s="824"/>
      <c r="AN372" s="824"/>
      <c r="AO372" s="824"/>
      <c r="AP372" s="824"/>
      <c r="AQ372" s="824"/>
      <c r="AR372" s="824"/>
      <c r="AS372" s="824"/>
      <c r="AT372" s="824"/>
      <c r="AU372" s="824"/>
      <c r="AV372" s="824"/>
    </row>
    <row r="373" spans="1:48" s="15" customFormat="1" x14ac:dyDescent="0.25">
      <c r="A373" s="1038"/>
      <c r="M373" s="16"/>
      <c r="T373" s="824"/>
      <c r="V373" s="1280"/>
      <c r="W373" s="1280"/>
      <c r="X373" s="1280"/>
      <c r="Y373" s="1280"/>
      <c r="Z373" s="1280"/>
      <c r="AA373" s="1280"/>
      <c r="AB373" s="1280"/>
      <c r="AC373" s="1280"/>
      <c r="AD373" s="824"/>
      <c r="AE373" s="824"/>
      <c r="AF373" s="824"/>
      <c r="AG373" s="824"/>
      <c r="AH373" s="824"/>
      <c r="AI373" s="824"/>
      <c r="AJ373" s="824"/>
      <c r="AK373" s="824"/>
      <c r="AL373" s="824"/>
      <c r="AM373" s="824"/>
      <c r="AN373" s="824"/>
      <c r="AO373" s="824"/>
      <c r="AP373" s="824"/>
      <c r="AQ373" s="824"/>
      <c r="AR373" s="824"/>
      <c r="AS373" s="824"/>
      <c r="AT373" s="824"/>
      <c r="AU373" s="824"/>
      <c r="AV373" s="824"/>
    </row>
    <row r="374" spans="1:48" s="15" customFormat="1" x14ac:dyDescent="0.25">
      <c r="A374" s="1038"/>
      <c r="M374" s="16"/>
      <c r="T374" s="824"/>
      <c r="V374" s="1280"/>
      <c r="W374" s="1280"/>
      <c r="X374" s="1280"/>
      <c r="Y374" s="1280"/>
      <c r="Z374" s="1280"/>
      <c r="AA374" s="1280"/>
      <c r="AB374" s="1280"/>
      <c r="AC374" s="1280"/>
      <c r="AD374" s="824"/>
      <c r="AE374" s="824"/>
      <c r="AF374" s="824"/>
      <c r="AG374" s="824"/>
      <c r="AH374" s="824"/>
      <c r="AI374" s="824"/>
      <c r="AJ374" s="824"/>
      <c r="AK374" s="824"/>
      <c r="AL374" s="824"/>
      <c r="AM374" s="824"/>
      <c r="AN374" s="824"/>
      <c r="AO374" s="824"/>
      <c r="AP374" s="824"/>
      <c r="AQ374" s="824"/>
      <c r="AR374" s="824"/>
      <c r="AS374" s="824"/>
      <c r="AT374" s="824"/>
      <c r="AU374" s="824"/>
      <c r="AV374" s="824"/>
    </row>
    <row r="375" spans="1:48" s="15" customFormat="1" x14ac:dyDescent="0.25">
      <c r="A375" s="1038"/>
      <c r="M375" s="16"/>
      <c r="T375" s="824"/>
      <c r="V375" s="1280"/>
      <c r="W375" s="1280"/>
      <c r="X375" s="1280"/>
      <c r="Y375" s="1280"/>
      <c r="Z375" s="1280"/>
      <c r="AA375" s="1280"/>
      <c r="AB375" s="1280"/>
      <c r="AC375" s="1280"/>
      <c r="AD375" s="824"/>
      <c r="AE375" s="824"/>
      <c r="AF375" s="824"/>
      <c r="AG375" s="824"/>
      <c r="AH375" s="824"/>
      <c r="AI375" s="824"/>
      <c r="AJ375" s="824"/>
      <c r="AK375" s="824"/>
      <c r="AL375" s="824"/>
      <c r="AM375" s="824"/>
      <c r="AN375" s="824"/>
      <c r="AO375" s="824"/>
      <c r="AP375" s="824"/>
      <c r="AQ375" s="824"/>
      <c r="AR375" s="824"/>
      <c r="AS375" s="824"/>
      <c r="AT375" s="824"/>
      <c r="AU375" s="824"/>
      <c r="AV375" s="824"/>
    </row>
    <row r="376" spans="1:48" s="15" customFormat="1" x14ac:dyDescent="0.25">
      <c r="A376" s="1038"/>
      <c r="M376" s="16"/>
      <c r="T376" s="824"/>
      <c r="V376" s="1280"/>
      <c r="W376" s="1280"/>
      <c r="X376" s="1280"/>
      <c r="Y376" s="1280"/>
      <c r="Z376" s="1280"/>
      <c r="AA376" s="1280"/>
      <c r="AB376" s="1280"/>
      <c r="AC376" s="1280"/>
      <c r="AD376" s="824"/>
      <c r="AE376" s="824"/>
      <c r="AF376" s="824"/>
      <c r="AG376" s="824"/>
      <c r="AH376" s="824"/>
      <c r="AI376" s="824"/>
      <c r="AJ376" s="824"/>
      <c r="AK376" s="824"/>
      <c r="AL376" s="824"/>
      <c r="AM376" s="824"/>
      <c r="AN376" s="824"/>
      <c r="AO376" s="824"/>
      <c r="AP376" s="824"/>
      <c r="AQ376" s="824"/>
      <c r="AR376" s="824"/>
      <c r="AS376" s="824"/>
      <c r="AT376" s="824"/>
      <c r="AU376" s="824"/>
      <c r="AV376" s="824"/>
    </row>
    <row r="377" spans="1:48" s="15" customFormat="1" x14ac:dyDescent="0.25">
      <c r="A377" s="1038"/>
      <c r="M377" s="16"/>
      <c r="T377" s="824"/>
      <c r="V377" s="1280"/>
      <c r="W377" s="1280"/>
      <c r="X377" s="1280"/>
      <c r="Y377" s="1280"/>
      <c r="Z377" s="1280"/>
      <c r="AA377" s="1280"/>
      <c r="AB377" s="1280"/>
      <c r="AC377" s="1280"/>
      <c r="AD377" s="824"/>
      <c r="AE377" s="824"/>
      <c r="AF377" s="824"/>
      <c r="AG377" s="824"/>
      <c r="AH377" s="824"/>
      <c r="AI377" s="824"/>
      <c r="AJ377" s="824"/>
      <c r="AK377" s="824"/>
      <c r="AL377" s="824"/>
      <c r="AM377" s="824"/>
      <c r="AN377" s="824"/>
      <c r="AO377" s="824"/>
      <c r="AP377" s="824"/>
      <c r="AQ377" s="824"/>
      <c r="AR377" s="824"/>
      <c r="AS377" s="824"/>
      <c r="AT377" s="824"/>
      <c r="AU377" s="824"/>
      <c r="AV377" s="824"/>
    </row>
    <row r="378" spans="1:48" s="15" customFormat="1" x14ac:dyDescent="0.25">
      <c r="A378" s="1038"/>
      <c r="M378" s="16"/>
      <c r="T378" s="824"/>
      <c r="V378" s="1280"/>
      <c r="W378" s="1280"/>
      <c r="X378" s="1280"/>
      <c r="Y378" s="1280"/>
      <c r="Z378" s="1280"/>
      <c r="AA378" s="1280"/>
      <c r="AB378" s="1280"/>
      <c r="AC378" s="1280"/>
      <c r="AD378" s="824"/>
      <c r="AE378" s="824"/>
      <c r="AF378" s="824"/>
      <c r="AG378" s="824"/>
      <c r="AH378" s="824"/>
      <c r="AI378" s="824"/>
      <c r="AJ378" s="824"/>
      <c r="AK378" s="824"/>
      <c r="AL378" s="824"/>
      <c r="AM378" s="824"/>
      <c r="AN378" s="824"/>
      <c r="AO378" s="824"/>
      <c r="AP378" s="824"/>
      <c r="AQ378" s="824"/>
      <c r="AR378" s="824"/>
      <c r="AS378" s="824"/>
      <c r="AT378" s="824"/>
      <c r="AU378" s="824"/>
      <c r="AV378" s="824"/>
    </row>
    <row r="379" spans="1:48" s="15" customFormat="1" x14ac:dyDescent="0.25">
      <c r="A379" s="1038"/>
      <c r="M379" s="16"/>
      <c r="T379" s="824"/>
      <c r="V379" s="1280"/>
      <c r="W379" s="1280"/>
      <c r="X379" s="1280"/>
      <c r="Y379" s="1280"/>
      <c r="Z379" s="1280"/>
      <c r="AA379" s="1280"/>
      <c r="AB379" s="1280"/>
      <c r="AC379" s="1280"/>
      <c r="AD379" s="824"/>
      <c r="AE379" s="824"/>
      <c r="AF379" s="824"/>
      <c r="AG379" s="824"/>
      <c r="AH379" s="824"/>
      <c r="AI379" s="824"/>
      <c r="AJ379" s="824"/>
      <c r="AK379" s="824"/>
      <c r="AL379" s="824"/>
      <c r="AM379" s="824"/>
      <c r="AN379" s="824"/>
      <c r="AO379" s="824"/>
      <c r="AP379" s="824"/>
      <c r="AQ379" s="824"/>
      <c r="AR379" s="824"/>
      <c r="AS379" s="824"/>
      <c r="AT379" s="824"/>
      <c r="AU379" s="824"/>
      <c r="AV379" s="824"/>
    </row>
    <row r="380" spans="1:48" s="15" customFormat="1" x14ac:dyDescent="0.25">
      <c r="A380" s="1038"/>
      <c r="M380" s="16"/>
      <c r="T380" s="824"/>
      <c r="V380" s="1280"/>
      <c r="W380" s="1280"/>
      <c r="X380" s="1280"/>
      <c r="Y380" s="1280"/>
      <c r="Z380" s="1280"/>
      <c r="AA380" s="1280"/>
      <c r="AB380" s="1280"/>
      <c r="AC380" s="1280"/>
      <c r="AD380" s="824"/>
      <c r="AE380" s="824"/>
      <c r="AF380" s="824"/>
      <c r="AG380" s="824"/>
      <c r="AH380" s="824"/>
      <c r="AI380" s="824"/>
      <c r="AJ380" s="824"/>
      <c r="AK380" s="824"/>
      <c r="AL380" s="824"/>
      <c r="AM380" s="824"/>
      <c r="AN380" s="824"/>
      <c r="AO380" s="824"/>
      <c r="AP380" s="824"/>
      <c r="AQ380" s="824"/>
      <c r="AR380" s="824"/>
      <c r="AS380" s="824"/>
      <c r="AT380" s="824"/>
      <c r="AU380" s="824"/>
      <c r="AV380" s="824"/>
    </row>
    <row r="381" spans="1:48" s="15" customFormat="1" x14ac:dyDescent="0.25">
      <c r="A381" s="1038"/>
      <c r="M381" s="16"/>
      <c r="T381" s="824"/>
      <c r="V381" s="1280"/>
      <c r="W381" s="1280"/>
      <c r="X381" s="1280"/>
      <c r="Y381" s="1280"/>
      <c r="Z381" s="1280"/>
      <c r="AA381" s="1280"/>
      <c r="AB381" s="1280"/>
      <c r="AC381" s="1280"/>
      <c r="AD381" s="824"/>
      <c r="AE381" s="824"/>
      <c r="AF381" s="824"/>
      <c r="AG381" s="824"/>
      <c r="AH381" s="824"/>
      <c r="AI381" s="824"/>
      <c r="AJ381" s="824"/>
      <c r="AK381" s="824"/>
      <c r="AL381" s="824"/>
      <c r="AM381" s="824"/>
      <c r="AN381" s="824"/>
      <c r="AO381" s="824"/>
      <c r="AP381" s="824"/>
      <c r="AQ381" s="824"/>
      <c r="AR381" s="824"/>
      <c r="AS381" s="824"/>
      <c r="AT381" s="824"/>
      <c r="AU381" s="824"/>
      <c r="AV381" s="824"/>
    </row>
    <row r="382" spans="1:48" s="15" customFormat="1" x14ac:dyDescent="0.25">
      <c r="A382" s="1038"/>
      <c r="M382" s="16"/>
      <c r="T382" s="824"/>
      <c r="V382" s="1280"/>
      <c r="W382" s="1280"/>
      <c r="X382" s="1280"/>
      <c r="Y382" s="1280"/>
      <c r="Z382" s="1280"/>
      <c r="AA382" s="1280"/>
      <c r="AB382" s="1280"/>
      <c r="AC382" s="1280"/>
      <c r="AD382" s="824"/>
      <c r="AE382" s="824"/>
      <c r="AF382" s="824"/>
      <c r="AG382" s="824"/>
      <c r="AH382" s="824"/>
      <c r="AI382" s="824"/>
      <c r="AJ382" s="824"/>
      <c r="AK382" s="824"/>
      <c r="AL382" s="824"/>
      <c r="AM382" s="824"/>
      <c r="AN382" s="824"/>
      <c r="AO382" s="824"/>
      <c r="AP382" s="824"/>
      <c r="AQ382" s="824"/>
      <c r="AR382" s="824"/>
      <c r="AS382" s="824"/>
      <c r="AT382" s="824"/>
      <c r="AU382" s="824"/>
      <c r="AV382" s="824"/>
    </row>
    <row r="383" spans="1:48" s="15" customFormat="1" x14ac:dyDescent="0.25">
      <c r="A383" s="1038"/>
      <c r="M383" s="16"/>
      <c r="T383" s="824"/>
      <c r="V383" s="1280"/>
      <c r="W383" s="1280"/>
      <c r="X383" s="1280"/>
      <c r="Y383" s="1280"/>
      <c r="Z383" s="1280"/>
      <c r="AA383" s="1280"/>
      <c r="AB383" s="1280"/>
      <c r="AC383" s="1280"/>
      <c r="AD383" s="824"/>
      <c r="AE383" s="824"/>
      <c r="AF383" s="824"/>
      <c r="AG383" s="824"/>
      <c r="AH383" s="824"/>
      <c r="AI383" s="824"/>
      <c r="AJ383" s="824"/>
      <c r="AK383" s="824"/>
      <c r="AL383" s="824"/>
      <c r="AM383" s="824"/>
      <c r="AN383" s="824"/>
      <c r="AO383" s="824"/>
      <c r="AP383" s="824"/>
      <c r="AQ383" s="824"/>
      <c r="AR383" s="824"/>
      <c r="AS383" s="824"/>
      <c r="AT383" s="824"/>
      <c r="AU383" s="824"/>
      <c r="AV383" s="824"/>
    </row>
    <row r="384" spans="1:48" s="15" customFormat="1" x14ac:dyDescent="0.25">
      <c r="A384" s="1038"/>
      <c r="M384" s="16"/>
      <c r="T384" s="824"/>
      <c r="V384" s="1280"/>
      <c r="W384" s="1280"/>
      <c r="X384" s="1280"/>
      <c r="Y384" s="1280"/>
      <c r="Z384" s="1280"/>
      <c r="AA384" s="1280"/>
      <c r="AB384" s="1280"/>
      <c r="AC384" s="1280"/>
      <c r="AD384" s="824"/>
      <c r="AE384" s="824"/>
      <c r="AF384" s="824"/>
      <c r="AG384" s="824"/>
      <c r="AH384" s="824"/>
      <c r="AI384" s="824"/>
      <c r="AJ384" s="824"/>
      <c r="AK384" s="824"/>
      <c r="AL384" s="824"/>
      <c r="AM384" s="824"/>
      <c r="AN384" s="824"/>
      <c r="AO384" s="824"/>
      <c r="AP384" s="824"/>
      <c r="AQ384" s="824"/>
      <c r="AR384" s="824"/>
      <c r="AS384" s="824"/>
      <c r="AT384" s="824"/>
      <c r="AU384" s="824"/>
      <c r="AV384" s="824"/>
    </row>
    <row r="385" spans="1:48" s="15" customFormat="1" x14ac:dyDescent="0.25">
      <c r="A385" s="1038"/>
      <c r="M385" s="16"/>
      <c r="T385" s="824"/>
      <c r="V385" s="1280"/>
      <c r="W385" s="1280"/>
      <c r="X385" s="1280"/>
      <c r="Y385" s="1280"/>
      <c r="Z385" s="1280"/>
      <c r="AA385" s="1280"/>
      <c r="AB385" s="1280"/>
      <c r="AC385" s="1280"/>
      <c r="AD385" s="824"/>
      <c r="AE385" s="824"/>
      <c r="AF385" s="824"/>
      <c r="AG385" s="824"/>
      <c r="AH385" s="824"/>
      <c r="AI385" s="824"/>
      <c r="AJ385" s="824"/>
      <c r="AK385" s="824"/>
      <c r="AL385" s="824"/>
      <c r="AM385" s="824"/>
      <c r="AN385" s="824"/>
      <c r="AO385" s="824"/>
      <c r="AP385" s="824"/>
      <c r="AQ385" s="824"/>
      <c r="AR385" s="824"/>
      <c r="AS385" s="824"/>
      <c r="AT385" s="824"/>
      <c r="AU385" s="824"/>
      <c r="AV385" s="824"/>
    </row>
    <row r="386" spans="1:48" s="15" customFormat="1" x14ac:dyDescent="0.25">
      <c r="A386" s="1038"/>
      <c r="M386" s="16"/>
      <c r="T386" s="824"/>
      <c r="V386" s="1280"/>
      <c r="W386" s="1280"/>
      <c r="X386" s="1280"/>
      <c r="Y386" s="1280"/>
      <c r="Z386" s="1280"/>
      <c r="AA386" s="1280"/>
      <c r="AB386" s="1280"/>
      <c r="AC386" s="1280"/>
      <c r="AD386" s="824"/>
      <c r="AE386" s="824"/>
      <c r="AF386" s="824"/>
      <c r="AG386" s="824"/>
      <c r="AH386" s="824"/>
      <c r="AI386" s="824"/>
      <c r="AJ386" s="824"/>
      <c r="AK386" s="824"/>
      <c r="AL386" s="824"/>
      <c r="AM386" s="824"/>
      <c r="AN386" s="824"/>
      <c r="AO386" s="824"/>
      <c r="AP386" s="824"/>
      <c r="AQ386" s="824"/>
      <c r="AR386" s="824"/>
      <c r="AS386" s="824"/>
      <c r="AT386" s="824"/>
      <c r="AU386" s="824"/>
      <c r="AV386" s="824"/>
    </row>
    <row r="387" spans="1:48" s="15" customFormat="1" x14ac:dyDescent="0.25">
      <c r="A387" s="1038"/>
      <c r="M387" s="16"/>
      <c r="T387" s="824"/>
      <c r="V387" s="1280"/>
      <c r="W387" s="1280"/>
      <c r="X387" s="1280"/>
      <c r="Y387" s="1280"/>
      <c r="Z387" s="1280"/>
      <c r="AA387" s="1280"/>
      <c r="AB387" s="1280"/>
      <c r="AC387" s="1280"/>
      <c r="AD387" s="824"/>
      <c r="AE387" s="824"/>
      <c r="AF387" s="824"/>
      <c r="AG387" s="824"/>
      <c r="AH387" s="824"/>
      <c r="AI387" s="824"/>
      <c r="AJ387" s="824"/>
      <c r="AK387" s="824"/>
      <c r="AL387" s="824"/>
      <c r="AM387" s="824"/>
      <c r="AN387" s="824"/>
      <c r="AO387" s="824"/>
      <c r="AP387" s="824"/>
      <c r="AQ387" s="824"/>
      <c r="AR387" s="824"/>
      <c r="AS387" s="824"/>
      <c r="AT387" s="824"/>
      <c r="AU387" s="824"/>
      <c r="AV387" s="824"/>
    </row>
    <row r="388" spans="1:48" s="15" customFormat="1" x14ac:dyDescent="0.25">
      <c r="A388" s="1038"/>
      <c r="M388" s="16"/>
      <c r="T388" s="824"/>
      <c r="V388" s="1280"/>
      <c r="W388" s="1280"/>
      <c r="X388" s="1280"/>
      <c r="Y388" s="1280"/>
      <c r="Z388" s="1280"/>
      <c r="AA388" s="1280"/>
      <c r="AB388" s="1280"/>
      <c r="AC388" s="1280"/>
      <c r="AD388" s="824"/>
      <c r="AE388" s="824"/>
      <c r="AF388" s="824"/>
      <c r="AG388" s="824"/>
      <c r="AH388" s="824"/>
      <c r="AI388" s="824"/>
      <c r="AJ388" s="824"/>
      <c r="AK388" s="824"/>
      <c r="AL388" s="824"/>
      <c r="AM388" s="824"/>
      <c r="AN388" s="824"/>
      <c r="AO388" s="824"/>
      <c r="AP388" s="824"/>
      <c r="AQ388" s="824"/>
      <c r="AR388" s="824"/>
      <c r="AS388" s="824"/>
      <c r="AT388" s="824"/>
      <c r="AU388" s="824"/>
      <c r="AV388" s="824"/>
    </row>
    <row r="389" spans="1:48" s="15" customFormat="1" x14ac:dyDescent="0.25">
      <c r="A389" s="1038"/>
      <c r="M389" s="16"/>
      <c r="T389" s="824"/>
      <c r="V389" s="1280"/>
      <c r="W389" s="1280"/>
      <c r="X389" s="1280"/>
      <c r="Y389" s="1280"/>
      <c r="Z389" s="1280"/>
      <c r="AA389" s="1280"/>
      <c r="AB389" s="1280"/>
      <c r="AC389" s="1280"/>
      <c r="AD389" s="824"/>
      <c r="AE389" s="824"/>
      <c r="AF389" s="824"/>
      <c r="AG389" s="824"/>
      <c r="AH389" s="824"/>
      <c r="AI389" s="824"/>
      <c r="AJ389" s="824"/>
      <c r="AK389" s="824"/>
      <c r="AL389" s="824"/>
      <c r="AM389" s="824"/>
      <c r="AN389" s="824"/>
      <c r="AO389" s="824"/>
      <c r="AP389" s="824"/>
      <c r="AQ389" s="824"/>
      <c r="AR389" s="824"/>
      <c r="AS389" s="824"/>
      <c r="AT389" s="824"/>
      <c r="AU389" s="824"/>
      <c r="AV389" s="824"/>
    </row>
    <row r="390" spans="1:48" s="15" customFormat="1" x14ac:dyDescent="0.25">
      <c r="A390" s="1038"/>
      <c r="M390" s="16"/>
      <c r="T390" s="824"/>
      <c r="V390" s="1280"/>
      <c r="W390" s="1280"/>
      <c r="X390" s="1280"/>
      <c r="Y390" s="1280"/>
      <c r="Z390" s="1280"/>
      <c r="AA390" s="1280"/>
      <c r="AB390" s="1280"/>
      <c r="AC390" s="1280"/>
      <c r="AD390" s="824"/>
      <c r="AE390" s="824"/>
      <c r="AF390" s="824"/>
      <c r="AG390" s="824"/>
      <c r="AH390" s="824"/>
      <c r="AI390" s="824"/>
      <c r="AJ390" s="824"/>
      <c r="AK390" s="824"/>
      <c r="AL390" s="824"/>
      <c r="AM390" s="824"/>
      <c r="AN390" s="824"/>
      <c r="AO390" s="824"/>
      <c r="AP390" s="824"/>
      <c r="AQ390" s="824"/>
      <c r="AR390" s="824"/>
      <c r="AS390" s="824"/>
      <c r="AT390" s="824"/>
      <c r="AU390" s="824"/>
      <c r="AV390" s="824"/>
    </row>
    <row r="391" spans="1:48" s="15" customFormat="1" x14ac:dyDescent="0.25">
      <c r="A391" s="1038"/>
      <c r="M391" s="16"/>
      <c r="T391" s="824"/>
      <c r="V391" s="1280"/>
      <c r="W391" s="1280"/>
      <c r="X391" s="1280"/>
      <c r="Y391" s="1280"/>
      <c r="Z391" s="1280"/>
      <c r="AA391" s="1280"/>
      <c r="AB391" s="1280"/>
      <c r="AC391" s="1280"/>
      <c r="AD391" s="824"/>
      <c r="AE391" s="824"/>
      <c r="AF391" s="824"/>
      <c r="AG391" s="824"/>
      <c r="AH391" s="824"/>
      <c r="AI391" s="824"/>
      <c r="AJ391" s="824"/>
      <c r="AK391" s="824"/>
      <c r="AL391" s="824"/>
      <c r="AM391" s="824"/>
      <c r="AN391" s="824"/>
      <c r="AO391" s="824"/>
      <c r="AP391" s="824"/>
      <c r="AQ391" s="824"/>
      <c r="AR391" s="824"/>
      <c r="AS391" s="824"/>
      <c r="AT391" s="824"/>
      <c r="AU391" s="824"/>
      <c r="AV391" s="824"/>
    </row>
    <row r="392" spans="1:48" s="15" customFormat="1" x14ac:dyDescent="0.25">
      <c r="A392" s="1038"/>
      <c r="M392" s="16"/>
      <c r="T392" s="824"/>
      <c r="V392" s="1280"/>
      <c r="W392" s="1280"/>
      <c r="X392" s="1280"/>
      <c r="Y392" s="1280"/>
      <c r="Z392" s="1280"/>
      <c r="AA392" s="1280"/>
      <c r="AB392" s="1280"/>
      <c r="AC392" s="1280"/>
      <c r="AD392" s="824"/>
      <c r="AE392" s="824"/>
      <c r="AF392" s="824"/>
      <c r="AG392" s="824"/>
      <c r="AH392" s="824"/>
      <c r="AI392" s="824"/>
      <c r="AJ392" s="824"/>
      <c r="AK392" s="824"/>
      <c r="AL392" s="824"/>
      <c r="AM392" s="824"/>
      <c r="AN392" s="824"/>
      <c r="AO392" s="824"/>
      <c r="AP392" s="824"/>
      <c r="AQ392" s="824"/>
      <c r="AR392" s="824"/>
      <c r="AS392" s="824"/>
      <c r="AT392" s="824"/>
      <c r="AU392" s="824"/>
      <c r="AV392" s="824"/>
    </row>
    <row r="393" spans="1:48" s="15" customFormat="1" x14ac:dyDescent="0.25">
      <c r="A393" s="1038"/>
      <c r="M393" s="16"/>
      <c r="T393" s="824"/>
      <c r="V393" s="1280"/>
      <c r="W393" s="1280"/>
      <c r="X393" s="1280"/>
      <c r="Y393" s="1280"/>
      <c r="Z393" s="1280"/>
      <c r="AA393" s="1280"/>
      <c r="AB393" s="1280"/>
      <c r="AC393" s="1280"/>
      <c r="AD393" s="824"/>
      <c r="AE393" s="824"/>
      <c r="AF393" s="824"/>
      <c r="AG393" s="824"/>
      <c r="AH393" s="824"/>
      <c r="AI393" s="824"/>
      <c r="AJ393" s="824"/>
      <c r="AK393" s="824"/>
      <c r="AL393" s="824"/>
      <c r="AM393" s="824"/>
      <c r="AN393" s="824"/>
      <c r="AO393" s="824"/>
      <c r="AP393" s="824"/>
      <c r="AQ393" s="824"/>
      <c r="AR393" s="824"/>
      <c r="AS393" s="824"/>
      <c r="AT393" s="824"/>
      <c r="AU393" s="824"/>
      <c r="AV393" s="824"/>
    </row>
    <row r="394" spans="1:48" s="15" customFormat="1" x14ac:dyDescent="0.25">
      <c r="A394" s="1038"/>
      <c r="M394" s="16"/>
      <c r="T394" s="824"/>
      <c r="V394" s="1280"/>
      <c r="W394" s="1280"/>
      <c r="X394" s="1280"/>
      <c r="Y394" s="1280"/>
      <c r="Z394" s="1280"/>
      <c r="AA394" s="1280"/>
      <c r="AB394" s="1280"/>
      <c r="AC394" s="1280"/>
      <c r="AD394" s="824"/>
      <c r="AE394" s="824"/>
      <c r="AF394" s="824"/>
      <c r="AG394" s="824"/>
      <c r="AH394" s="824"/>
      <c r="AI394" s="824"/>
      <c r="AJ394" s="824"/>
      <c r="AK394" s="824"/>
      <c r="AL394" s="824"/>
      <c r="AM394" s="824"/>
      <c r="AN394" s="824"/>
      <c r="AO394" s="824"/>
      <c r="AP394" s="824"/>
      <c r="AQ394" s="824"/>
      <c r="AR394" s="824"/>
      <c r="AS394" s="824"/>
      <c r="AT394" s="824"/>
      <c r="AU394" s="824"/>
      <c r="AV394" s="824"/>
    </row>
    <row r="395" spans="1:48" s="15" customFormat="1" x14ac:dyDescent="0.25">
      <c r="A395" s="1038"/>
      <c r="M395" s="16"/>
      <c r="T395" s="824"/>
      <c r="V395" s="1280"/>
      <c r="W395" s="1280"/>
      <c r="X395" s="1280"/>
      <c r="Y395" s="1280"/>
      <c r="Z395" s="1280"/>
      <c r="AA395" s="1280"/>
      <c r="AB395" s="1280"/>
      <c r="AC395" s="1280"/>
      <c r="AD395" s="824"/>
      <c r="AE395" s="824"/>
      <c r="AF395" s="824"/>
      <c r="AG395" s="824"/>
      <c r="AH395" s="824"/>
      <c r="AI395" s="824"/>
      <c r="AJ395" s="824"/>
      <c r="AK395" s="824"/>
      <c r="AL395" s="824"/>
      <c r="AM395" s="824"/>
      <c r="AN395" s="824"/>
      <c r="AO395" s="824"/>
      <c r="AP395" s="824"/>
      <c r="AQ395" s="824"/>
      <c r="AR395" s="824"/>
      <c r="AS395" s="824"/>
      <c r="AT395" s="824"/>
      <c r="AU395" s="824"/>
      <c r="AV395" s="824"/>
    </row>
    <row r="396" spans="1:48" s="15" customFormat="1" x14ac:dyDescent="0.25">
      <c r="A396" s="1038"/>
      <c r="M396" s="16"/>
      <c r="T396" s="824"/>
      <c r="V396" s="1280"/>
      <c r="W396" s="1280"/>
      <c r="X396" s="1280"/>
      <c r="Y396" s="1280"/>
      <c r="Z396" s="1280"/>
      <c r="AA396" s="1280"/>
      <c r="AB396" s="1280"/>
      <c r="AC396" s="1280"/>
      <c r="AD396" s="824"/>
      <c r="AE396" s="824"/>
      <c r="AF396" s="824"/>
      <c r="AG396" s="824"/>
      <c r="AH396" s="824"/>
      <c r="AI396" s="824"/>
      <c r="AJ396" s="824"/>
      <c r="AK396" s="824"/>
      <c r="AL396" s="824"/>
      <c r="AM396" s="824"/>
      <c r="AN396" s="824"/>
      <c r="AO396" s="824"/>
      <c r="AP396" s="824"/>
      <c r="AQ396" s="824"/>
      <c r="AR396" s="824"/>
      <c r="AS396" s="824"/>
      <c r="AT396" s="824"/>
      <c r="AU396" s="824"/>
      <c r="AV396" s="824"/>
    </row>
    <row r="397" spans="1:48" s="15" customFormat="1" x14ac:dyDescent="0.25">
      <c r="A397" s="1038"/>
      <c r="M397" s="16"/>
      <c r="T397" s="824"/>
      <c r="V397" s="1280"/>
      <c r="W397" s="1280"/>
      <c r="X397" s="1280"/>
      <c r="Y397" s="1280"/>
      <c r="Z397" s="1280"/>
      <c r="AA397" s="1280"/>
      <c r="AB397" s="1280"/>
      <c r="AC397" s="1280"/>
      <c r="AD397" s="824"/>
      <c r="AE397" s="824"/>
      <c r="AF397" s="824"/>
      <c r="AG397" s="824"/>
      <c r="AH397" s="824"/>
      <c r="AI397" s="824"/>
      <c r="AJ397" s="824"/>
      <c r="AK397" s="824"/>
      <c r="AL397" s="824"/>
      <c r="AM397" s="824"/>
      <c r="AN397" s="824"/>
      <c r="AO397" s="824"/>
      <c r="AP397" s="824"/>
      <c r="AQ397" s="824"/>
      <c r="AR397" s="824"/>
      <c r="AS397" s="824"/>
      <c r="AT397" s="824"/>
      <c r="AU397" s="824"/>
      <c r="AV397" s="824"/>
    </row>
    <row r="398" spans="1:48" s="15" customFormat="1" x14ac:dyDescent="0.25">
      <c r="A398" s="1038"/>
      <c r="M398" s="16"/>
      <c r="T398" s="824"/>
      <c r="V398" s="1280"/>
      <c r="W398" s="1280"/>
      <c r="X398" s="1280"/>
      <c r="Y398" s="1280"/>
      <c r="Z398" s="1280"/>
      <c r="AA398" s="1280"/>
      <c r="AB398" s="1280"/>
      <c r="AC398" s="1280"/>
      <c r="AD398" s="824"/>
      <c r="AE398" s="824"/>
      <c r="AF398" s="824"/>
      <c r="AG398" s="824"/>
      <c r="AH398" s="824"/>
      <c r="AI398" s="824"/>
      <c r="AJ398" s="824"/>
      <c r="AK398" s="824"/>
      <c r="AL398" s="824"/>
      <c r="AM398" s="824"/>
      <c r="AN398" s="824"/>
      <c r="AO398" s="824"/>
      <c r="AP398" s="824"/>
      <c r="AQ398" s="824"/>
      <c r="AR398" s="824"/>
      <c r="AS398" s="824"/>
      <c r="AT398" s="824"/>
      <c r="AU398" s="824"/>
      <c r="AV398" s="824"/>
    </row>
    <row r="399" spans="1:48" s="15" customFormat="1" x14ac:dyDescent="0.25">
      <c r="A399" s="1038"/>
      <c r="M399" s="16"/>
      <c r="T399" s="824"/>
      <c r="V399" s="1280"/>
      <c r="W399" s="1280"/>
      <c r="X399" s="1280"/>
      <c r="Y399" s="1280"/>
      <c r="Z399" s="1280"/>
      <c r="AA399" s="1280"/>
      <c r="AB399" s="1280"/>
      <c r="AC399" s="1280"/>
      <c r="AD399" s="824"/>
      <c r="AE399" s="824"/>
      <c r="AF399" s="824"/>
      <c r="AG399" s="824"/>
      <c r="AH399" s="824"/>
      <c r="AI399" s="824"/>
      <c r="AJ399" s="824"/>
      <c r="AK399" s="824"/>
      <c r="AL399" s="824"/>
      <c r="AM399" s="824"/>
      <c r="AN399" s="824"/>
      <c r="AO399" s="824"/>
      <c r="AP399" s="824"/>
      <c r="AQ399" s="824"/>
      <c r="AR399" s="824"/>
      <c r="AS399" s="824"/>
      <c r="AT399" s="824"/>
      <c r="AU399" s="824"/>
      <c r="AV399" s="824"/>
    </row>
    <row r="400" spans="1:48" s="15" customFormat="1" x14ac:dyDescent="0.25">
      <c r="A400" s="1038"/>
      <c r="M400" s="16"/>
      <c r="T400" s="824"/>
      <c r="V400" s="1280"/>
      <c r="W400" s="1280"/>
      <c r="X400" s="1280"/>
      <c r="Y400" s="1280"/>
      <c r="Z400" s="1280"/>
      <c r="AA400" s="1280"/>
      <c r="AB400" s="1280"/>
      <c r="AC400" s="1280"/>
      <c r="AD400" s="824"/>
      <c r="AE400" s="824"/>
      <c r="AF400" s="824"/>
      <c r="AG400" s="824"/>
      <c r="AH400" s="824"/>
      <c r="AI400" s="824"/>
      <c r="AJ400" s="824"/>
      <c r="AK400" s="824"/>
      <c r="AL400" s="824"/>
      <c r="AM400" s="824"/>
      <c r="AN400" s="824"/>
      <c r="AO400" s="824"/>
      <c r="AP400" s="824"/>
      <c r="AQ400" s="824"/>
      <c r="AR400" s="824"/>
      <c r="AS400" s="824"/>
      <c r="AT400" s="824"/>
      <c r="AU400" s="824"/>
      <c r="AV400" s="824"/>
    </row>
    <row r="401" spans="1:48" s="15" customFormat="1" x14ac:dyDescent="0.25">
      <c r="A401" s="1038"/>
      <c r="M401" s="16"/>
      <c r="T401" s="824"/>
      <c r="V401" s="1280"/>
      <c r="W401" s="1280"/>
      <c r="X401" s="1280"/>
      <c r="Y401" s="1280"/>
      <c r="Z401" s="1280"/>
      <c r="AA401" s="1280"/>
      <c r="AB401" s="1280"/>
      <c r="AC401" s="1280"/>
      <c r="AD401" s="824"/>
      <c r="AE401" s="824"/>
      <c r="AF401" s="824"/>
      <c r="AG401" s="824"/>
      <c r="AH401" s="824"/>
      <c r="AI401" s="824"/>
      <c r="AJ401" s="824"/>
      <c r="AK401" s="824"/>
      <c r="AL401" s="824"/>
      <c r="AM401" s="824"/>
      <c r="AN401" s="824"/>
      <c r="AO401" s="824"/>
      <c r="AP401" s="824"/>
      <c r="AQ401" s="824"/>
      <c r="AR401" s="824"/>
      <c r="AS401" s="824"/>
      <c r="AT401" s="824"/>
      <c r="AU401" s="824"/>
      <c r="AV401" s="824"/>
    </row>
    <row r="402" spans="1:48" s="15" customFormat="1" x14ac:dyDescent="0.25">
      <c r="A402" s="1038"/>
      <c r="M402" s="16"/>
      <c r="T402" s="824"/>
      <c r="V402" s="1280"/>
      <c r="W402" s="1280"/>
      <c r="X402" s="1280"/>
      <c r="Y402" s="1280"/>
      <c r="Z402" s="1280"/>
      <c r="AA402" s="1280"/>
      <c r="AB402" s="1280"/>
      <c r="AC402" s="1280"/>
      <c r="AD402" s="824"/>
      <c r="AE402" s="824"/>
      <c r="AF402" s="824"/>
      <c r="AG402" s="824"/>
      <c r="AH402" s="824"/>
      <c r="AI402" s="824"/>
      <c r="AJ402" s="824"/>
      <c r="AK402" s="824"/>
      <c r="AL402" s="824"/>
      <c r="AM402" s="824"/>
      <c r="AN402" s="824"/>
      <c r="AO402" s="824"/>
      <c r="AP402" s="824"/>
      <c r="AQ402" s="824"/>
      <c r="AR402" s="824"/>
      <c r="AS402" s="824"/>
      <c r="AT402" s="824"/>
      <c r="AU402" s="824"/>
      <c r="AV402" s="824"/>
    </row>
    <row r="403" spans="1:48" s="15" customFormat="1" x14ac:dyDescent="0.25">
      <c r="A403" s="1038"/>
      <c r="M403" s="16"/>
      <c r="T403" s="824"/>
      <c r="V403" s="1280"/>
      <c r="W403" s="1280"/>
      <c r="X403" s="1280"/>
      <c r="Y403" s="1280"/>
      <c r="Z403" s="1280"/>
      <c r="AA403" s="1280"/>
      <c r="AB403" s="1280"/>
      <c r="AC403" s="1280"/>
      <c r="AD403" s="824"/>
      <c r="AE403" s="824"/>
      <c r="AF403" s="824"/>
      <c r="AG403" s="824"/>
      <c r="AH403" s="824"/>
      <c r="AI403" s="824"/>
      <c r="AJ403" s="824"/>
      <c r="AK403" s="824"/>
      <c r="AL403" s="824"/>
      <c r="AM403" s="824"/>
      <c r="AN403" s="824"/>
      <c r="AO403" s="824"/>
      <c r="AP403" s="824"/>
      <c r="AQ403" s="824"/>
      <c r="AR403" s="824"/>
      <c r="AS403" s="824"/>
      <c r="AT403" s="824"/>
      <c r="AU403" s="824"/>
      <c r="AV403" s="824"/>
    </row>
    <row r="404" spans="1:48" s="15" customFormat="1" x14ac:dyDescent="0.25">
      <c r="A404" s="1038"/>
      <c r="M404" s="16"/>
      <c r="T404" s="824"/>
      <c r="V404" s="1280"/>
      <c r="W404" s="1280"/>
      <c r="X404" s="1280"/>
      <c r="Y404" s="1280"/>
      <c r="Z404" s="1280"/>
      <c r="AA404" s="1280"/>
      <c r="AB404" s="1280"/>
      <c r="AC404" s="1280"/>
      <c r="AD404" s="824"/>
      <c r="AE404" s="824"/>
      <c r="AF404" s="824"/>
      <c r="AG404" s="824"/>
      <c r="AH404" s="824"/>
      <c r="AI404" s="824"/>
      <c r="AJ404" s="824"/>
      <c r="AK404" s="824"/>
      <c r="AL404" s="824"/>
      <c r="AM404" s="824"/>
      <c r="AN404" s="824"/>
      <c r="AO404" s="824"/>
      <c r="AP404" s="824"/>
      <c r="AQ404" s="824"/>
      <c r="AR404" s="824"/>
      <c r="AS404" s="824"/>
      <c r="AT404" s="824"/>
      <c r="AU404" s="824"/>
      <c r="AV404" s="824"/>
    </row>
    <row r="405" spans="1:48" s="15" customFormat="1" x14ac:dyDescent="0.25">
      <c r="A405" s="1038"/>
      <c r="M405" s="16"/>
      <c r="T405" s="824"/>
      <c r="V405" s="1280"/>
      <c r="W405" s="1280"/>
      <c r="X405" s="1280"/>
      <c r="Y405" s="1280"/>
      <c r="Z405" s="1280"/>
      <c r="AA405" s="1280"/>
      <c r="AB405" s="1280"/>
      <c r="AC405" s="1280"/>
      <c r="AD405" s="824"/>
      <c r="AE405" s="824"/>
      <c r="AF405" s="824"/>
      <c r="AG405" s="824"/>
      <c r="AH405" s="824"/>
      <c r="AI405" s="824"/>
      <c r="AJ405" s="824"/>
      <c r="AK405" s="824"/>
      <c r="AL405" s="824"/>
      <c r="AM405" s="824"/>
      <c r="AN405" s="824"/>
      <c r="AO405" s="824"/>
      <c r="AP405" s="824"/>
      <c r="AQ405" s="824"/>
      <c r="AR405" s="824"/>
      <c r="AS405" s="824"/>
      <c r="AT405" s="824"/>
      <c r="AU405" s="824"/>
      <c r="AV405" s="824"/>
    </row>
    <row r="406" spans="1:48" s="15" customFormat="1" x14ac:dyDescent="0.25">
      <c r="A406" s="1038"/>
      <c r="M406" s="16"/>
      <c r="T406" s="824"/>
      <c r="V406" s="1280"/>
      <c r="W406" s="1280"/>
      <c r="X406" s="1280"/>
      <c r="Y406" s="1280"/>
      <c r="Z406" s="1280"/>
      <c r="AA406" s="1280"/>
      <c r="AB406" s="1280"/>
      <c r="AC406" s="1280"/>
      <c r="AD406" s="824"/>
      <c r="AE406" s="824"/>
      <c r="AF406" s="824"/>
      <c r="AG406" s="824"/>
      <c r="AH406" s="824"/>
      <c r="AI406" s="824"/>
      <c r="AJ406" s="824"/>
      <c r="AK406" s="824"/>
      <c r="AL406" s="824"/>
      <c r="AM406" s="824"/>
      <c r="AN406" s="824"/>
      <c r="AO406" s="824"/>
      <c r="AP406" s="824"/>
      <c r="AQ406" s="824"/>
      <c r="AR406" s="824"/>
      <c r="AS406" s="824"/>
      <c r="AT406" s="824"/>
      <c r="AU406" s="824"/>
      <c r="AV406" s="824"/>
    </row>
    <row r="407" spans="1:48" s="15" customFormat="1" x14ac:dyDescent="0.25">
      <c r="A407" s="1038"/>
      <c r="M407" s="16"/>
      <c r="T407" s="824"/>
      <c r="V407" s="1280"/>
      <c r="W407" s="1280"/>
      <c r="X407" s="1280"/>
      <c r="Y407" s="1280"/>
      <c r="Z407" s="1280"/>
      <c r="AA407" s="1280"/>
      <c r="AB407" s="1280"/>
      <c r="AC407" s="1280"/>
      <c r="AD407" s="824"/>
      <c r="AE407" s="824"/>
      <c r="AF407" s="824"/>
      <c r="AG407" s="824"/>
      <c r="AH407" s="824"/>
      <c r="AI407" s="824"/>
      <c r="AJ407" s="824"/>
      <c r="AK407" s="824"/>
      <c r="AL407" s="824"/>
      <c r="AM407" s="824"/>
      <c r="AN407" s="824"/>
      <c r="AO407" s="824"/>
      <c r="AP407" s="824"/>
      <c r="AQ407" s="824"/>
      <c r="AR407" s="824"/>
      <c r="AS407" s="824"/>
      <c r="AT407" s="824"/>
      <c r="AU407" s="824"/>
      <c r="AV407" s="824"/>
    </row>
    <row r="408" spans="1:48" s="15" customFormat="1" x14ac:dyDescent="0.25">
      <c r="A408" s="1038"/>
      <c r="M408" s="16"/>
      <c r="T408" s="824"/>
      <c r="V408" s="1280"/>
      <c r="W408" s="1280"/>
      <c r="X408" s="1280"/>
      <c r="Y408" s="1280"/>
      <c r="Z408" s="1280"/>
      <c r="AA408" s="1280"/>
      <c r="AB408" s="1280"/>
      <c r="AC408" s="1280"/>
      <c r="AD408" s="824"/>
      <c r="AE408" s="824"/>
      <c r="AF408" s="824"/>
      <c r="AG408" s="824"/>
      <c r="AH408" s="824"/>
      <c r="AI408" s="824"/>
      <c r="AJ408" s="824"/>
      <c r="AK408" s="824"/>
      <c r="AL408" s="824"/>
      <c r="AM408" s="824"/>
      <c r="AN408" s="824"/>
      <c r="AO408" s="824"/>
      <c r="AP408" s="824"/>
      <c r="AQ408" s="824"/>
      <c r="AR408" s="824"/>
      <c r="AS408" s="824"/>
      <c r="AT408" s="824"/>
      <c r="AU408" s="824"/>
      <c r="AV408" s="824"/>
    </row>
    <row r="409" spans="1:48" s="15" customFormat="1" x14ac:dyDescent="0.25">
      <c r="A409" s="1038"/>
      <c r="M409" s="16"/>
      <c r="T409" s="824"/>
      <c r="V409" s="1280"/>
      <c r="W409" s="1280"/>
      <c r="X409" s="1280"/>
      <c r="Y409" s="1280"/>
      <c r="Z409" s="1280"/>
      <c r="AA409" s="1280"/>
      <c r="AB409" s="1280"/>
      <c r="AC409" s="1280"/>
      <c r="AD409" s="824"/>
      <c r="AE409" s="824"/>
      <c r="AF409" s="824"/>
      <c r="AG409" s="824"/>
      <c r="AH409" s="824"/>
      <c r="AI409" s="824"/>
      <c r="AJ409" s="824"/>
      <c r="AK409" s="824"/>
      <c r="AL409" s="824"/>
      <c r="AM409" s="824"/>
      <c r="AN409" s="824"/>
      <c r="AO409" s="824"/>
      <c r="AP409" s="824"/>
      <c r="AQ409" s="824"/>
      <c r="AR409" s="824"/>
      <c r="AS409" s="824"/>
      <c r="AT409" s="824"/>
      <c r="AU409" s="824"/>
      <c r="AV409" s="824"/>
    </row>
    <row r="410" spans="1:48" s="15" customFormat="1" x14ac:dyDescent="0.25">
      <c r="A410" s="1038"/>
      <c r="M410" s="16"/>
      <c r="T410" s="824"/>
      <c r="V410" s="1280"/>
      <c r="W410" s="1280"/>
      <c r="X410" s="1280"/>
      <c r="Y410" s="1280"/>
      <c r="Z410" s="1280"/>
      <c r="AA410" s="1280"/>
      <c r="AB410" s="1280"/>
      <c r="AC410" s="1280"/>
      <c r="AD410" s="824"/>
      <c r="AE410" s="824"/>
      <c r="AF410" s="824"/>
      <c r="AG410" s="824"/>
      <c r="AH410" s="824"/>
      <c r="AI410" s="824"/>
      <c r="AJ410" s="824"/>
      <c r="AK410" s="824"/>
      <c r="AL410" s="824"/>
      <c r="AM410" s="824"/>
      <c r="AN410" s="824"/>
      <c r="AO410" s="824"/>
      <c r="AP410" s="824"/>
      <c r="AQ410" s="824"/>
      <c r="AR410" s="824"/>
      <c r="AS410" s="824"/>
      <c r="AT410" s="824"/>
      <c r="AU410" s="824"/>
      <c r="AV410" s="824"/>
    </row>
    <row r="411" spans="1:48" s="15" customFormat="1" x14ac:dyDescent="0.25">
      <c r="A411" s="1038"/>
      <c r="M411" s="16"/>
      <c r="T411" s="824"/>
      <c r="V411" s="1280"/>
      <c r="W411" s="1280"/>
      <c r="X411" s="1280"/>
      <c r="Y411" s="1280"/>
      <c r="Z411" s="1280"/>
      <c r="AA411" s="1280"/>
      <c r="AB411" s="1280"/>
      <c r="AC411" s="1280"/>
      <c r="AD411" s="824"/>
      <c r="AE411" s="824"/>
      <c r="AF411" s="824"/>
      <c r="AG411" s="824"/>
      <c r="AH411" s="824"/>
      <c r="AI411" s="824"/>
      <c r="AJ411" s="824"/>
      <c r="AK411" s="824"/>
      <c r="AL411" s="824"/>
      <c r="AM411" s="824"/>
      <c r="AN411" s="824"/>
      <c r="AO411" s="824"/>
      <c r="AP411" s="824"/>
      <c r="AQ411" s="824"/>
      <c r="AR411" s="824"/>
      <c r="AS411" s="824"/>
      <c r="AT411" s="824"/>
      <c r="AU411" s="824"/>
      <c r="AV411" s="824"/>
    </row>
    <row r="412" spans="1:48" s="15" customFormat="1" x14ac:dyDescent="0.25">
      <c r="A412" s="1038"/>
      <c r="M412" s="16"/>
      <c r="T412" s="824"/>
      <c r="V412" s="1280"/>
      <c r="W412" s="1280"/>
      <c r="X412" s="1280"/>
      <c r="Y412" s="1280"/>
      <c r="Z412" s="1280"/>
      <c r="AA412" s="1280"/>
      <c r="AB412" s="1280"/>
      <c r="AC412" s="1280"/>
      <c r="AD412" s="824"/>
      <c r="AE412" s="824"/>
      <c r="AF412" s="824"/>
      <c r="AG412" s="824"/>
      <c r="AH412" s="824"/>
      <c r="AI412" s="824"/>
      <c r="AJ412" s="824"/>
      <c r="AK412" s="824"/>
      <c r="AL412" s="824"/>
      <c r="AM412" s="824"/>
      <c r="AN412" s="824"/>
      <c r="AO412" s="824"/>
      <c r="AP412" s="824"/>
      <c r="AQ412" s="824"/>
      <c r="AR412" s="824"/>
      <c r="AS412" s="824"/>
      <c r="AT412" s="824"/>
      <c r="AU412" s="824"/>
      <c r="AV412" s="824"/>
    </row>
    <row r="413" spans="1:48" s="15" customFormat="1" x14ac:dyDescent="0.25">
      <c r="A413" s="1038"/>
      <c r="M413" s="16"/>
      <c r="T413" s="824"/>
      <c r="V413" s="1280"/>
      <c r="W413" s="1280"/>
      <c r="X413" s="1280"/>
      <c r="Y413" s="1280"/>
      <c r="Z413" s="1280"/>
      <c r="AA413" s="1280"/>
      <c r="AB413" s="1280"/>
      <c r="AC413" s="1280"/>
      <c r="AD413" s="824"/>
      <c r="AE413" s="824"/>
      <c r="AF413" s="824"/>
      <c r="AG413" s="824"/>
      <c r="AH413" s="824"/>
      <c r="AI413" s="824"/>
      <c r="AJ413" s="824"/>
      <c r="AK413" s="824"/>
      <c r="AL413" s="824"/>
      <c r="AM413" s="824"/>
      <c r="AN413" s="824"/>
      <c r="AO413" s="824"/>
      <c r="AP413" s="824"/>
      <c r="AQ413" s="824"/>
      <c r="AR413" s="824"/>
      <c r="AS413" s="824"/>
      <c r="AT413" s="824"/>
      <c r="AU413" s="824"/>
      <c r="AV413" s="824"/>
    </row>
    <row r="414" spans="1:48" s="15" customFormat="1" x14ac:dyDescent="0.25">
      <c r="A414" s="1038"/>
      <c r="M414" s="16"/>
      <c r="T414" s="824"/>
      <c r="V414" s="1280"/>
      <c r="W414" s="1280"/>
      <c r="X414" s="1280"/>
      <c r="Y414" s="1280"/>
      <c r="Z414" s="1280"/>
      <c r="AA414" s="1280"/>
      <c r="AB414" s="1280"/>
      <c r="AC414" s="1280"/>
      <c r="AD414" s="824"/>
      <c r="AE414" s="824"/>
      <c r="AF414" s="824"/>
      <c r="AG414" s="824"/>
      <c r="AH414" s="824"/>
      <c r="AI414" s="824"/>
      <c r="AJ414" s="824"/>
      <c r="AK414" s="824"/>
      <c r="AL414" s="824"/>
      <c r="AM414" s="824"/>
      <c r="AN414" s="824"/>
      <c r="AO414" s="824"/>
      <c r="AP414" s="824"/>
      <c r="AQ414" s="824"/>
      <c r="AR414" s="824"/>
      <c r="AS414" s="824"/>
      <c r="AT414" s="824"/>
      <c r="AU414" s="824"/>
      <c r="AV414" s="824"/>
    </row>
    <row r="415" spans="1:48" s="15" customFormat="1" x14ac:dyDescent="0.25">
      <c r="A415" s="1038"/>
      <c r="M415" s="16"/>
      <c r="T415" s="824"/>
      <c r="V415" s="1280"/>
      <c r="W415" s="1280"/>
      <c r="X415" s="1280"/>
      <c r="Y415" s="1280"/>
      <c r="Z415" s="1280"/>
      <c r="AA415" s="1280"/>
      <c r="AB415" s="1280"/>
      <c r="AC415" s="1280"/>
      <c r="AD415" s="824"/>
      <c r="AE415" s="824"/>
      <c r="AF415" s="824"/>
      <c r="AG415" s="824"/>
      <c r="AH415" s="824"/>
      <c r="AI415" s="824"/>
      <c r="AJ415" s="824"/>
      <c r="AK415" s="824"/>
      <c r="AL415" s="824"/>
      <c r="AM415" s="824"/>
      <c r="AN415" s="824"/>
      <c r="AO415" s="824"/>
      <c r="AP415" s="824"/>
      <c r="AQ415" s="824"/>
      <c r="AR415" s="824"/>
      <c r="AS415" s="824"/>
      <c r="AT415" s="824"/>
      <c r="AU415" s="824"/>
      <c r="AV415" s="824"/>
    </row>
    <row r="416" spans="1:48" s="15" customFormat="1" x14ac:dyDescent="0.25">
      <c r="A416" s="1038"/>
      <c r="M416" s="16"/>
      <c r="T416" s="824"/>
      <c r="V416" s="1280"/>
      <c r="W416" s="1280"/>
      <c r="X416" s="1280"/>
      <c r="Y416" s="1280"/>
      <c r="Z416" s="1280"/>
      <c r="AA416" s="1280"/>
      <c r="AB416" s="1280"/>
      <c r="AC416" s="1280"/>
      <c r="AD416" s="824"/>
      <c r="AE416" s="824"/>
      <c r="AF416" s="824"/>
      <c r="AG416" s="824"/>
      <c r="AH416" s="824"/>
      <c r="AI416" s="824"/>
      <c r="AJ416" s="824"/>
      <c r="AK416" s="824"/>
      <c r="AL416" s="824"/>
      <c r="AM416" s="824"/>
      <c r="AN416" s="824"/>
      <c r="AO416" s="824"/>
      <c r="AP416" s="824"/>
      <c r="AQ416" s="824"/>
      <c r="AR416" s="824"/>
      <c r="AS416" s="824"/>
      <c r="AT416" s="824"/>
      <c r="AU416" s="824"/>
      <c r="AV416" s="824"/>
    </row>
    <row r="417" spans="1:48" s="15" customFormat="1" x14ac:dyDescent="0.25">
      <c r="A417" s="1038"/>
      <c r="M417" s="16"/>
      <c r="T417" s="824"/>
      <c r="V417" s="1280"/>
      <c r="W417" s="1280"/>
      <c r="X417" s="1280"/>
      <c r="Y417" s="1280"/>
      <c r="Z417" s="1280"/>
      <c r="AA417" s="1280"/>
      <c r="AB417" s="1280"/>
      <c r="AC417" s="1280"/>
      <c r="AD417" s="824"/>
      <c r="AE417" s="824"/>
      <c r="AF417" s="824"/>
      <c r="AG417" s="824"/>
      <c r="AH417" s="824"/>
      <c r="AI417" s="824"/>
      <c r="AJ417" s="824"/>
      <c r="AK417" s="824"/>
      <c r="AL417" s="824"/>
      <c r="AM417" s="824"/>
      <c r="AN417" s="824"/>
      <c r="AO417" s="824"/>
      <c r="AP417" s="824"/>
      <c r="AQ417" s="824"/>
      <c r="AR417" s="824"/>
      <c r="AS417" s="824"/>
      <c r="AT417" s="824"/>
      <c r="AU417" s="824"/>
      <c r="AV417" s="824"/>
    </row>
    <row r="418" spans="1:48" s="15" customFormat="1" x14ac:dyDescent="0.25">
      <c r="A418" s="1038"/>
      <c r="M418" s="16"/>
      <c r="T418" s="824"/>
      <c r="V418" s="1280"/>
      <c r="W418" s="1280"/>
      <c r="X418" s="1280"/>
      <c r="Y418" s="1280"/>
      <c r="Z418" s="1280"/>
      <c r="AA418" s="1280"/>
      <c r="AB418" s="1280"/>
      <c r="AC418" s="1280"/>
      <c r="AD418" s="824"/>
      <c r="AE418" s="824"/>
      <c r="AF418" s="824"/>
      <c r="AG418" s="824"/>
      <c r="AH418" s="824"/>
      <c r="AI418" s="824"/>
      <c r="AJ418" s="824"/>
      <c r="AK418" s="824"/>
      <c r="AL418" s="824"/>
      <c r="AM418" s="824"/>
      <c r="AN418" s="824"/>
      <c r="AO418" s="824"/>
      <c r="AP418" s="824"/>
      <c r="AQ418" s="824"/>
      <c r="AR418" s="824"/>
      <c r="AS418" s="824"/>
      <c r="AT418" s="824"/>
      <c r="AU418" s="824"/>
      <c r="AV418" s="824"/>
    </row>
    <row r="419" spans="1:48" s="15" customFormat="1" x14ac:dyDescent="0.25">
      <c r="A419" s="1038"/>
      <c r="M419" s="16"/>
      <c r="T419" s="824"/>
      <c r="V419" s="1280"/>
      <c r="W419" s="1280"/>
      <c r="X419" s="1280"/>
      <c r="Y419" s="1280"/>
      <c r="Z419" s="1280"/>
      <c r="AA419" s="1280"/>
      <c r="AB419" s="1280"/>
      <c r="AC419" s="1280"/>
      <c r="AD419" s="824"/>
      <c r="AE419" s="824"/>
      <c r="AF419" s="824"/>
      <c r="AG419" s="824"/>
      <c r="AH419" s="824"/>
      <c r="AI419" s="824"/>
      <c r="AJ419" s="824"/>
      <c r="AK419" s="824"/>
      <c r="AL419" s="824"/>
      <c r="AM419" s="824"/>
      <c r="AN419" s="824"/>
      <c r="AO419" s="824"/>
      <c r="AP419" s="824"/>
      <c r="AQ419" s="824"/>
      <c r="AR419" s="824"/>
      <c r="AS419" s="824"/>
      <c r="AT419" s="824"/>
      <c r="AU419" s="824"/>
      <c r="AV419" s="824"/>
    </row>
    <row r="420" spans="1:48" s="15" customFormat="1" x14ac:dyDescent="0.25">
      <c r="A420" s="1038"/>
      <c r="M420" s="16"/>
      <c r="T420" s="824"/>
      <c r="V420" s="1280"/>
      <c r="W420" s="1280"/>
      <c r="X420" s="1280"/>
      <c r="Y420" s="1280"/>
      <c r="Z420" s="1280"/>
      <c r="AA420" s="1280"/>
      <c r="AB420" s="1280"/>
      <c r="AC420" s="1280"/>
      <c r="AD420" s="824"/>
      <c r="AE420" s="824"/>
      <c r="AF420" s="824"/>
      <c r="AG420" s="824"/>
      <c r="AH420" s="824"/>
      <c r="AI420" s="824"/>
      <c r="AJ420" s="824"/>
      <c r="AK420" s="824"/>
      <c r="AL420" s="824"/>
      <c r="AM420" s="824"/>
      <c r="AN420" s="824"/>
      <c r="AO420" s="824"/>
      <c r="AP420" s="824"/>
      <c r="AQ420" s="824"/>
      <c r="AR420" s="824"/>
      <c r="AS420" s="824"/>
      <c r="AT420" s="824"/>
      <c r="AU420" s="824"/>
      <c r="AV420" s="824"/>
    </row>
    <row r="421" spans="1:48" s="15" customFormat="1" x14ac:dyDescent="0.25">
      <c r="A421" s="1038"/>
      <c r="M421" s="16"/>
      <c r="T421" s="824"/>
      <c r="V421" s="1280"/>
      <c r="W421" s="1280"/>
      <c r="X421" s="1280"/>
      <c r="Y421" s="1280"/>
      <c r="Z421" s="1280"/>
      <c r="AA421" s="1280"/>
      <c r="AB421" s="1280"/>
      <c r="AC421" s="1280"/>
      <c r="AD421" s="824"/>
      <c r="AE421" s="824"/>
      <c r="AF421" s="824"/>
      <c r="AG421" s="824"/>
      <c r="AH421" s="824"/>
      <c r="AI421" s="824"/>
      <c r="AJ421" s="824"/>
      <c r="AK421" s="824"/>
      <c r="AL421" s="824"/>
      <c r="AM421" s="824"/>
      <c r="AN421" s="824"/>
      <c r="AO421" s="824"/>
      <c r="AP421" s="824"/>
      <c r="AQ421" s="824"/>
      <c r="AR421" s="824"/>
      <c r="AS421" s="824"/>
      <c r="AT421" s="824"/>
      <c r="AU421" s="824"/>
      <c r="AV421" s="824"/>
    </row>
    <row r="422" spans="1:48" s="15" customFormat="1" x14ac:dyDescent="0.25">
      <c r="A422" s="1038"/>
      <c r="M422" s="16"/>
      <c r="T422" s="824"/>
      <c r="V422" s="1280"/>
      <c r="W422" s="1280"/>
      <c r="X422" s="1280"/>
      <c r="Y422" s="1280"/>
      <c r="Z422" s="1280"/>
      <c r="AA422" s="1280"/>
      <c r="AB422" s="1280"/>
      <c r="AC422" s="1280"/>
      <c r="AD422" s="824"/>
      <c r="AE422" s="824"/>
      <c r="AF422" s="824"/>
      <c r="AG422" s="824"/>
      <c r="AH422" s="824"/>
      <c r="AI422" s="824"/>
      <c r="AJ422" s="824"/>
      <c r="AK422" s="824"/>
      <c r="AL422" s="824"/>
      <c r="AM422" s="824"/>
      <c r="AN422" s="824"/>
      <c r="AO422" s="824"/>
      <c r="AP422" s="824"/>
      <c r="AQ422" s="824"/>
      <c r="AR422" s="824"/>
      <c r="AS422" s="824"/>
      <c r="AT422" s="824"/>
      <c r="AU422" s="824"/>
      <c r="AV422" s="824"/>
    </row>
    <row r="423" spans="1:48" s="15" customFormat="1" x14ac:dyDescent="0.25">
      <c r="A423" s="1038"/>
      <c r="M423" s="16"/>
      <c r="T423" s="824"/>
      <c r="V423" s="1280"/>
      <c r="W423" s="1280"/>
      <c r="X423" s="1280"/>
      <c r="Y423" s="1280"/>
      <c r="Z423" s="1280"/>
      <c r="AA423" s="1280"/>
      <c r="AB423" s="1280"/>
      <c r="AC423" s="1280"/>
      <c r="AD423" s="824"/>
      <c r="AE423" s="824"/>
      <c r="AF423" s="824"/>
      <c r="AG423" s="824"/>
      <c r="AH423" s="824"/>
      <c r="AI423" s="824"/>
      <c r="AJ423" s="824"/>
      <c r="AK423" s="824"/>
      <c r="AL423" s="824"/>
      <c r="AM423" s="824"/>
      <c r="AN423" s="824"/>
      <c r="AO423" s="824"/>
      <c r="AP423" s="824"/>
      <c r="AQ423" s="824"/>
      <c r="AR423" s="824"/>
      <c r="AS423" s="824"/>
      <c r="AT423" s="824"/>
      <c r="AU423" s="824"/>
      <c r="AV423" s="824"/>
    </row>
    <row r="424" spans="1:48" s="15" customFormat="1" x14ac:dyDescent="0.25">
      <c r="A424" s="1038"/>
      <c r="M424" s="16"/>
      <c r="T424" s="824"/>
      <c r="V424" s="1280"/>
      <c r="W424" s="1280"/>
      <c r="X424" s="1280"/>
      <c r="Y424" s="1280"/>
      <c r="Z424" s="1280"/>
      <c r="AA424" s="1280"/>
      <c r="AB424" s="1280"/>
      <c r="AC424" s="1280"/>
      <c r="AD424" s="824"/>
      <c r="AE424" s="824"/>
      <c r="AF424" s="824"/>
      <c r="AG424" s="824"/>
      <c r="AH424" s="824"/>
      <c r="AI424" s="824"/>
      <c r="AJ424" s="824"/>
      <c r="AK424" s="824"/>
      <c r="AL424" s="824"/>
      <c r="AM424" s="824"/>
      <c r="AN424" s="824"/>
      <c r="AO424" s="824"/>
      <c r="AP424" s="824"/>
      <c r="AQ424" s="824"/>
      <c r="AR424" s="824"/>
      <c r="AS424" s="824"/>
      <c r="AT424" s="824"/>
      <c r="AU424" s="824"/>
      <c r="AV424" s="824"/>
    </row>
    <row r="425" spans="1:48" s="15" customFormat="1" x14ac:dyDescent="0.25">
      <c r="A425" s="1038"/>
      <c r="M425" s="16"/>
      <c r="T425" s="824"/>
      <c r="V425" s="1280"/>
      <c r="W425" s="1280"/>
      <c r="X425" s="1280"/>
      <c r="Y425" s="1280"/>
      <c r="Z425" s="1280"/>
      <c r="AA425" s="1280"/>
      <c r="AB425" s="1280"/>
      <c r="AC425" s="1280"/>
      <c r="AD425" s="824"/>
      <c r="AE425" s="824"/>
      <c r="AF425" s="824"/>
      <c r="AG425" s="824"/>
      <c r="AH425" s="824"/>
      <c r="AI425" s="824"/>
      <c r="AJ425" s="824"/>
      <c r="AK425" s="824"/>
      <c r="AL425" s="824"/>
      <c r="AM425" s="824"/>
      <c r="AN425" s="824"/>
      <c r="AO425" s="824"/>
      <c r="AP425" s="824"/>
      <c r="AQ425" s="824"/>
      <c r="AR425" s="824"/>
      <c r="AS425" s="824"/>
      <c r="AT425" s="824"/>
      <c r="AU425" s="824"/>
      <c r="AV425" s="824"/>
    </row>
    <row r="426" spans="1:48" s="15" customFormat="1" x14ac:dyDescent="0.25">
      <c r="A426" s="1038"/>
      <c r="M426" s="16"/>
      <c r="T426" s="824"/>
      <c r="V426" s="1280"/>
      <c r="W426" s="1280"/>
      <c r="X426" s="1280"/>
      <c r="Y426" s="1280"/>
      <c r="Z426" s="1280"/>
      <c r="AA426" s="1280"/>
      <c r="AB426" s="1280"/>
      <c r="AC426" s="1280"/>
      <c r="AD426" s="824"/>
      <c r="AE426" s="824"/>
      <c r="AF426" s="824"/>
      <c r="AG426" s="824"/>
      <c r="AH426" s="824"/>
      <c r="AI426" s="824"/>
      <c r="AJ426" s="824"/>
      <c r="AK426" s="824"/>
      <c r="AL426" s="824"/>
      <c r="AM426" s="824"/>
      <c r="AN426" s="824"/>
      <c r="AO426" s="824"/>
      <c r="AP426" s="824"/>
      <c r="AQ426" s="824"/>
      <c r="AR426" s="824"/>
      <c r="AS426" s="824"/>
      <c r="AT426" s="824"/>
      <c r="AU426" s="824"/>
      <c r="AV426" s="824"/>
    </row>
    <row r="427" spans="1:48" s="15" customFormat="1" x14ac:dyDescent="0.25">
      <c r="A427" s="1038"/>
      <c r="M427" s="16"/>
      <c r="T427" s="824"/>
      <c r="V427" s="1280"/>
      <c r="W427" s="1280"/>
      <c r="X427" s="1280"/>
      <c r="Y427" s="1280"/>
      <c r="Z427" s="1280"/>
      <c r="AA427" s="1280"/>
      <c r="AB427" s="1280"/>
      <c r="AC427" s="1280"/>
      <c r="AD427" s="824"/>
      <c r="AE427" s="824"/>
      <c r="AF427" s="824"/>
      <c r="AG427" s="824"/>
      <c r="AH427" s="824"/>
      <c r="AI427" s="824"/>
      <c r="AJ427" s="824"/>
      <c r="AK427" s="824"/>
      <c r="AL427" s="824"/>
      <c r="AM427" s="824"/>
      <c r="AN427" s="824"/>
      <c r="AO427" s="824"/>
      <c r="AP427" s="824"/>
      <c r="AQ427" s="824"/>
      <c r="AR427" s="824"/>
      <c r="AS427" s="824"/>
      <c r="AT427" s="824"/>
      <c r="AU427" s="824"/>
      <c r="AV427" s="824"/>
    </row>
    <row r="428" spans="1:48" s="15" customFormat="1" x14ac:dyDescent="0.25">
      <c r="A428" s="1038"/>
      <c r="M428" s="16"/>
      <c r="T428" s="824"/>
      <c r="V428" s="1280"/>
      <c r="W428" s="1280"/>
      <c r="X428" s="1280"/>
      <c r="Y428" s="1280"/>
      <c r="Z428" s="1280"/>
      <c r="AA428" s="1280"/>
      <c r="AB428" s="1280"/>
      <c r="AC428" s="1280"/>
      <c r="AD428" s="824"/>
      <c r="AE428" s="824"/>
      <c r="AF428" s="824"/>
      <c r="AG428" s="824"/>
      <c r="AH428" s="824"/>
      <c r="AI428" s="824"/>
      <c r="AJ428" s="824"/>
      <c r="AK428" s="824"/>
      <c r="AL428" s="824"/>
      <c r="AM428" s="824"/>
      <c r="AN428" s="824"/>
      <c r="AO428" s="824"/>
      <c r="AP428" s="824"/>
      <c r="AQ428" s="824"/>
      <c r="AR428" s="824"/>
      <c r="AS428" s="824"/>
      <c r="AT428" s="824"/>
      <c r="AU428" s="824"/>
      <c r="AV428" s="824"/>
    </row>
    <row r="429" spans="1:48" s="15" customFormat="1" x14ac:dyDescent="0.25">
      <c r="A429" s="1038"/>
      <c r="M429" s="16"/>
      <c r="T429" s="824"/>
      <c r="V429" s="1280"/>
      <c r="W429" s="1280"/>
      <c r="X429" s="1280"/>
      <c r="Y429" s="1280"/>
      <c r="Z429" s="1280"/>
      <c r="AA429" s="1280"/>
      <c r="AB429" s="1280"/>
      <c r="AC429" s="1280"/>
      <c r="AD429" s="824"/>
      <c r="AE429" s="824"/>
      <c r="AF429" s="824"/>
      <c r="AG429" s="824"/>
      <c r="AH429" s="824"/>
      <c r="AI429" s="824"/>
      <c r="AJ429" s="824"/>
      <c r="AK429" s="824"/>
      <c r="AL429" s="824"/>
      <c r="AM429" s="824"/>
      <c r="AN429" s="824"/>
      <c r="AO429" s="824"/>
      <c r="AP429" s="824"/>
      <c r="AQ429" s="824"/>
      <c r="AR429" s="824"/>
      <c r="AS429" s="824"/>
      <c r="AT429" s="824"/>
      <c r="AU429" s="824"/>
      <c r="AV429" s="824"/>
    </row>
    <row r="430" spans="1:48" s="15" customFormat="1" x14ac:dyDescent="0.25">
      <c r="A430" s="1038"/>
      <c r="M430" s="16"/>
      <c r="T430" s="824"/>
      <c r="V430" s="1280"/>
      <c r="W430" s="1280"/>
      <c r="X430" s="1280"/>
      <c r="Y430" s="1280"/>
      <c r="Z430" s="1280"/>
      <c r="AA430" s="1280"/>
      <c r="AB430" s="1280"/>
      <c r="AC430" s="1280"/>
      <c r="AD430" s="824"/>
      <c r="AE430" s="824"/>
      <c r="AF430" s="824"/>
      <c r="AG430" s="824"/>
      <c r="AH430" s="824"/>
      <c r="AI430" s="824"/>
      <c r="AJ430" s="824"/>
      <c r="AK430" s="824"/>
      <c r="AL430" s="824"/>
      <c r="AM430" s="824"/>
      <c r="AN430" s="824"/>
      <c r="AO430" s="824"/>
      <c r="AP430" s="824"/>
      <c r="AQ430" s="824"/>
      <c r="AR430" s="824"/>
      <c r="AS430" s="824"/>
      <c r="AT430" s="824"/>
      <c r="AU430" s="824"/>
      <c r="AV430" s="824"/>
    </row>
    <row r="431" spans="1:48" s="15" customFormat="1" x14ac:dyDescent="0.25">
      <c r="A431" s="1038"/>
      <c r="M431" s="16"/>
      <c r="T431" s="824"/>
      <c r="V431" s="1280"/>
      <c r="W431" s="1280"/>
      <c r="X431" s="1280"/>
      <c r="Y431" s="1280"/>
      <c r="Z431" s="1280"/>
      <c r="AA431" s="1280"/>
      <c r="AB431" s="1280"/>
      <c r="AC431" s="1280"/>
      <c r="AD431" s="824"/>
      <c r="AE431" s="824"/>
      <c r="AF431" s="824"/>
      <c r="AG431" s="824"/>
      <c r="AH431" s="824"/>
      <c r="AI431" s="824"/>
      <c r="AJ431" s="824"/>
      <c r="AK431" s="824"/>
      <c r="AL431" s="824"/>
      <c r="AM431" s="824"/>
      <c r="AN431" s="824"/>
      <c r="AO431" s="824"/>
      <c r="AP431" s="824"/>
      <c r="AQ431" s="824"/>
      <c r="AR431" s="824"/>
      <c r="AS431" s="824"/>
      <c r="AT431" s="824"/>
      <c r="AU431" s="824"/>
      <c r="AV431" s="824"/>
    </row>
    <row r="432" spans="1:48" s="15" customFormat="1" x14ac:dyDescent="0.25">
      <c r="A432" s="1038"/>
      <c r="M432" s="16"/>
      <c r="T432" s="824"/>
      <c r="V432" s="1280"/>
      <c r="W432" s="1280"/>
      <c r="X432" s="1280"/>
      <c r="Y432" s="1280"/>
      <c r="Z432" s="1280"/>
      <c r="AA432" s="1280"/>
      <c r="AB432" s="1280"/>
      <c r="AC432" s="1280"/>
      <c r="AD432" s="824"/>
      <c r="AE432" s="824"/>
      <c r="AF432" s="824"/>
      <c r="AG432" s="824"/>
      <c r="AH432" s="824"/>
      <c r="AI432" s="824"/>
      <c r="AJ432" s="824"/>
      <c r="AK432" s="824"/>
      <c r="AL432" s="824"/>
      <c r="AM432" s="824"/>
      <c r="AN432" s="824"/>
      <c r="AO432" s="824"/>
      <c r="AP432" s="824"/>
      <c r="AQ432" s="824"/>
      <c r="AR432" s="824"/>
      <c r="AS432" s="824"/>
      <c r="AT432" s="824"/>
      <c r="AU432" s="824"/>
      <c r="AV432" s="824"/>
    </row>
    <row r="433" spans="1:48" s="15" customFormat="1" x14ac:dyDescent="0.25">
      <c r="A433" s="1038"/>
      <c r="M433" s="16"/>
      <c r="T433" s="824"/>
      <c r="V433" s="1280"/>
      <c r="W433" s="1280"/>
      <c r="X433" s="1280"/>
      <c r="Y433" s="1280"/>
      <c r="Z433" s="1280"/>
      <c r="AA433" s="1280"/>
      <c r="AB433" s="1280"/>
      <c r="AC433" s="1280"/>
      <c r="AD433" s="824"/>
      <c r="AE433" s="824"/>
      <c r="AF433" s="824"/>
      <c r="AG433" s="824"/>
      <c r="AH433" s="824"/>
      <c r="AI433" s="824"/>
      <c r="AJ433" s="824"/>
      <c r="AK433" s="824"/>
      <c r="AL433" s="824"/>
      <c r="AM433" s="824"/>
      <c r="AN433" s="824"/>
      <c r="AO433" s="824"/>
      <c r="AP433" s="824"/>
      <c r="AQ433" s="824"/>
      <c r="AR433" s="824"/>
      <c r="AS433" s="824"/>
      <c r="AT433" s="824"/>
      <c r="AU433" s="824"/>
      <c r="AV433" s="824"/>
    </row>
    <row r="434" spans="1:48" s="15" customFormat="1" x14ac:dyDescent="0.25">
      <c r="A434" s="1038"/>
      <c r="M434" s="16"/>
      <c r="T434" s="824"/>
      <c r="V434" s="1280"/>
      <c r="W434" s="1280"/>
      <c r="X434" s="1280"/>
      <c r="Y434" s="1280"/>
      <c r="Z434" s="1280"/>
      <c r="AA434" s="1280"/>
      <c r="AB434" s="1280"/>
      <c r="AC434" s="1280"/>
      <c r="AD434" s="824"/>
      <c r="AE434" s="824"/>
      <c r="AF434" s="824"/>
      <c r="AG434" s="824"/>
      <c r="AH434" s="824"/>
      <c r="AI434" s="824"/>
      <c r="AJ434" s="824"/>
      <c r="AK434" s="824"/>
      <c r="AL434" s="824"/>
      <c r="AM434" s="824"/>
      <c r="AN434" s="824"/>
      <c r="AO434" s="824"/>
      <c r="AP434" s="824"/>
      <c r="AQ434" s="824"/>
      <c r="AR434" s="824"/>
      <c r="AS434" s="824"/>
      <c r="AT434" s="824"/>
      <c r="AU434" s="824"/>
      <c r="AV434" s="824"/>
    </row>
    <row r="435" spans="1:48" s="15" customFormat="1" x14ac:dyDescent="0.25">
      <c r="A435" s="1038"/>
      <c r="M435" s="16"/>
      <c r="T435" s="824"/>
      <c r="V435" s="1280"/>
      <c r="W435" s="1280"/>
      <c r="X435" s="1280"/>
      <c r="Y435" s="1280"/>
      <c r="Z435" s="1280"/>
      <c r="AA435" s="1280"/>
      <c r="AB435" s="1280"/>
      <c r="AC435" s="1280"/>
      <c r="AD435" s="824"/>
      <c r="AE435" s="824"/>
      <c r="AF435" s="824"/>
      <c r="AG435" s="824"/>
      <c r="AH435" s="824"/>
      <c r="AI435" s="824"/>
      <c r="AJ435" s="824"/>
      <c r="AK435" s="824"/>
      <c r="AL435" s="824"/>
      <c r="AM435" s="824"/>
      <c r="AN435" s="824"/>
      <c r="AO435" s="824"/>
      <c r="AP435" s="824"/>
      <c r="AQ435" s="824"/>
      <c r="AR435" s="824"/>
      <c r="AS435" s="824"/>
      <c r="AT435" s="824"/>
      <c r="AU435" s="824"/>
      <c r="AV435" s="824"/>
    </row>
    <row r="436" spans="1:48" s="15" customFormat="1" x14ac:dyDescent="0.25">
      <c r="A436" s="1038"/>
      <c r="M436" s="16"/>
      <c r="T436" s="824"/>
      <c r="V436" s="1280"/>
      <c r="W436" s="1280"/>
      <c r="X436" s="1280"/>
      <c r="Y436" s="1280"/>
      <c r="Z436" s="1280"/>
      <c r="AA436" s="1280"/>
      <c r="AB436" s="1280"/>
      <c r="AC436" s="1280"/>
      <c r="AD436" s="824"/>
      <c r="AE436" s="824"/>
      <c r="AF436" s="824"/>
      <c r="AG436" s="824"/>
      <c r="AH436" s="824"/>
      <c r="AI436" s="824"/>
      <c r="AJ436" s="824"/>
      <c r="AK436" s="824"/>
      <c r="AL436" s="824"/>
      <c r="AM436" s="824"/>
      <c r="AN436" s="824"/>
      <c r="AO436" s="824"/>
      <c r="AP436" s="824"/>
      <c r="AQ436" s="824"/>
      <c r="AR436" s="824"/>
      <c r="AS436" s="824"/>
      <c r="AT436" s="824"/>
      <c r="AU436" s="824"/>
      <c r="AV436" s="824"/>
    </row>
    <row r="437" spans="1:48" s="15" customFormat="1" x14ac:dyDescent="0.25">
      <c r="A437" s="1038"/>
      <c r="M437" s="16"/>
      <c r="T437" s="824"/>
      <c r="V437" s="1280"/>
      <c r="W437" s="1280"/>
      <c r="X437" s="1280"/>
      <c r="Y437" s="1280"/>
      <c r="Z437" s="1280"/>
      <c r="AA437" s="1280"/>
      <c r="AB437" s="1280"/>
      <c r="AC437" s="1280"/>
      <c r="AD437" s="824"/>
      <c r="AE437" s="824"/>
      <c r="AF437" s="824"/>
      <c r="AG437" s="824"/>
      <c r="AH437" s="824"/>
      <c r="AI437" s="824"/>
      <c r="AJ437" s="824"/>
      <c r="AK437" s="824"/>
      <c r="AL437" s="824"/>
      <c r="AM437" s="824"/>
      <c r="AN437" s="824"/>
      <c r="AO437" s="824"/>
      <c r="AP437" s="824"/>
      <c r="AQ437" s="824"/>
      <c r="AR437" s="824"/>
      <c r="AS437" s="824"/>
      <c r="AT437" s="824"/>
      <c r="AU437" s="824"/>
      <c r="AV437" s="824"/>
    </row>
    <row r="438" spans="1:48" s="15" customFormat="1" x14ac:dyDescent="0.25">
      <c r="A438" s="1038"/>
      <c r="M438" s="16"/>
      <c r="T438" s="824"/>
      <c r="V438" s="1280"/>
      <c r="W438" s="1280"/>
      <c r="X438" s="1280"/>
      <c r="Y438" s="1280"/>
      <c r="Z438" s="1280"/>
      <c r="AA438" s="1280"/>
      <c r="AB438" s="1280"/>
      <c r="AC438" s="1280"/>
      <c r="AD438" s="824"/>
      <c r="AE438" s="824"/>
      <c r="AF438" s="824"/>
      <c r="AG438" s="824"/>
      <c r="AH438" s="824"/>
      <c r="AI438" s="824"/>
      <c r="AJ438" s="824"/>
      <c r="AK438" s="824"/>
      <c r="AL438" s="824"/>
      <c r="AM438" s="824"/>
      <c r="AN438" s="824"/>
      <c r="AO438" s="824"/>
      <c r="AP438" s="824"/>
      <c r="AQ438" s="824"/>
      <c r="AR438" s="824"/>
      <c r="AS438" s="824"/>
      <c r="AT438" s="824"/>
      <c r="AU438" s="824"/>
      <c r="AV438" s="824"/>
    </row>
    <row r="439" spans="1:48" s="15" customFormat="1" x14ac:dyDescent="0.25">
      <c r="A439" s="1038"/>
      <c r="M439" s="16"/>
      <c r="T439" s="824"/>
      <c r="V439" s="1280"/>
      <c r="W439" s="1280"/>
      <c r="X439" s="1280"/>
      <c r="Y439" s="1280"/>
      <c r="Z439" s="1280"/>
      <c r="AA439" s="1280"/>
      <c r="AB439" s="1280"/>
      <c r="AC439" s="1280"/>
      <c r="AD439" s="824"/>
      <c r="AE439" s="824"/>
      <c r="AF439" s="824"/>
      <c r="AG439" s="824"/>
      <c r="AH439" s="824"/>
      <c r="AI439" s="824"/>
      <c r="AJ439" s="824"/>
      <c r="AK439" s="824"/>
      <c r="AL439" s="824"/>
      <c r="AM439" s="824"/>
      <c r="AN439" s="824"/>
      <c r="AO439" s="824"/>
      <c r="AP439" s="824"/>
      <c r="AQ439" s="824"/>
      <c r="AR439" s="824"/>
      <c r="AS439" s="824"/>
      <c r="AT439" s="824"/>
      <c r="AU439" s="824"/>
      <c r="AV439" s="824"/>
    </row>
    <row r="440" spans="1:48" s="15" customFormat="1" x14ac:dyDescent="0.25">
      <c r="A440" s="1038"/>
      <c r="M440" s="16"/>
      <c r="T440" s="824"/>
      <c r="V440" s="1280"/>
      <c r="W440" s="1280"/>
      <c r="X440" s="1280"/>
      <c r="Y440" s="1280"/>
      <c r="Z440" s="1280"/>
      <c r="AA440" s="1280"/>
      <c r="AB440" s="1280"/>
      <c r="AC440" s="1280"/>
      <c r="AD440" s="824"/>
      <c r="AE440" s="824"/>
      <c r="AF440" s="824"/>
      <c r="AG440" s="824"/>
      <c r="AH440" s="824"/>
      <c r="AI440" s="824"/>
      <c r="AJ440" s="824"/>
      <c r="AK440" s="824"/>
      <c r="AL440" s="824"/>
      <c r="AM440" s="824"/>
      <c r="AN440" s="824"/>
      <c r="AO440" s="824"/>
      <c r="AP440" s="824"/>
      <c r="AQ440" s="824"/>
      <c r="AR440" s="824"/>
      <c r="AS440" s="824"/>
      <c r="AT440" s="824"/>
      <c r="AU440" s="824"/>
      <c r="AV440" s="824"/>
    </row>
    <row r="441" spans="1:48" s="15" customFormat="1" x14ac:dyDescent="0.25">
      <c r="A441" s="1038"/>
      <c r="M441" s="16"/>
      <c r="T441" s="824"/>
      <c r="V441" s="1280"/>
      <c r="W441" s="1280"/>
      <c r="X441" s="1280"/>
      <c r="Y441" s="1280"/>
      <c r="Z441" s="1280"/>
      <c r="AA441" s="1280"/>
      <c r="AB441" s="1280"/>
      <c r="AC441" s="1280"/>
      <c r="AD441" s="824"/>
      <c r="AE441" s="824"/>
      <c r="AF441" s="824"/>
      <c r="AG441" s="824"/>
      <c r="AH441" s="824"/>
      <c r="AI441" s="824"/>
      <c r="AJ441" s="824"/>
      <c r="AK441" s="824"/>
      <c r="AL441" s="824"/>
      <c r="AM441" s="824"/>
      <c r="AN441" s="824"/>
      <c r="AO441" s="824"/>
      <c r="AP441" s="824"/>
      <c r="AQ441" s="824"/>
      <c r="AR441" s="824"/>
      <c r="AS441" s="824"/>
      <c r="AT441" s="824"/>
      <c r="AU441" s="824"/>
      <c r="AV441" s="824"/>
    </row>
    <row r="442" spans="1:48" s="15" customFormat="1" x14ac:dyDescent="0.25">
      <c r="A442" s="1038"/>
      <c r="M442" s="16"/>
      <c r="T442" s="824"/>
      <c r="V442" s="1280"/>
      <c r="W442" s="1280"/>
      <c r="X442" s="1280"/>
      <c r="Y442" s="1280"/>
      <c r="Z442" s="1280"/>
      <c r="AA442" s="1280"/>
      <c r="AB442" s="1280"/>
      <c r="AC442" s="1280"/>
      <c r="AD442" s="824"/>
      <c r="AE442" s="824"/>
      <c r="AF442" s="824"/>
      <c r="AG442" s="824"/>
      <c r="AH442" s="824"/>
      <c r="AI442" s="824"/>
      <c r="AJ442" s="824"/>
      <c r="AK442" s="824"/>
      <c r="AL442" s="824"/>
      <c r="AM442" s="824"/>
      <c r="AN442" s="824"/>
      <c r="AO442" s="824"/>
      <c r="AP442" s="824"/>
      <c r="AQ442" s="824"/>
      <c r="AR442" s="824"/>
      <c r="AS442" s="824"/>
      <c r="AT442" s="824"/>
      <c r="AU442" s="824"/>
      <c r="AV442" s="824"/>
    </row>
    <row r="443" spans="1:48" s="15" customFormat="1" x14ac:dyDescent="0.25">
      <c r="A443" s="1038"/>
      <c r="M443" s="16"/>
      <c r="T443" s="824"/>
      <c r="V443" s="1280"/>
      <c r="W443" s="1280"/>
      <c r="X443" s="1280"/>
      <c r="Y443" s="1280"/>
      <c r="Z443" s="1280"/>
      <c r="AA443" s="1280"/>
      <c r="AB443" s="1280"/>
      <c r="AC443" s="1280"/>
      <c r="AD443" s="824"/>
      <c r="AE443" s="824"/>
      <c r="AF443" s="824"/>
      <c r="AG443" s="824"/>
      <c r="AH443" s="824"/>
      <c r="AI443" s="824"/>
      <c r="AJ443" s="824"/>
      <c r="AK443" s="824"/>
      <c r="AL443" s="824"/>
      <c r="AM443" s="824"/>
      <c r="AN443" s="824"/>
      <c r="AO443" s="824"/>
      <c r="AP443" s="824"/>
      <c r="AQ443" s="824"/>
      <c r="AR443" s="824"/>
      <c r="AS443" s="824"/>
      <c r="AT443" s="824"/>
      <c r="AU443" s="824"/>
      <c r="AV443" s="824"/>
    </row>
    <row r="444" spans="1:48" s="15" customFormat="1" x14ac:dyDescent="0.25">
      <c r="A444" s="1038"/>
      <c r="M444" s="16"/>
      <c r="T444" s="824"/>
      <c r="V444" s="1280"/>
      <c r="W444" s="1280"/>
      <c r="X444" s="1280"/>
      <c r="Y444" s="1280"/>
      <c r="Z444" s="1280"/>
      <c r="AA444" s="1280"/>
      <c r="AB444" s="1280"/>
      <c r="AC444" s="1280"/>
      <c r="AD444" s="824"/>
      <c r="AE444" s="824"/>
      <c r="AF444" s="824"/>
      <c r="AG444" s="824"/>
      <c r="AH444" s="824"/>
      <c r="AI444" s="824"/>
      <c r="AJ444" s="824"/>
      <c r="AK444" s="824"/>
      <c r="AL444" s="824"/>
      <c r="AM444" s="824"/>
      <c r="AN444" s="824"/>
      <c r="AO444" s="824"/>
      <c r="AP444" s="824"/>
      <c r="AQ444" s="824"/>
      <c r="AR444" s="824"/>
      <c r="AS444" s="824"/>
      <c r="AT444" s="824"/>
      <c r="AU444" s="824"/>
      <c r="AV444" s="824"/>
    </row>
    <row r="445" spans="1:48" s="15" customFormat="1" x14ac:dyDescent="0.25">
      <c r="A445" s="1038"/>
      <c r="M445" s="16"/>
      <c r="T445" s="824"/>
      <c r="V445" s="1280"/>
      <c r="W445" s="1280"/>
      <c r="X445" s="1280"/>
      <c r="Y445" s="1280"/>
      <c r="Z445" s="1280"/>
      <c r="AA445" s="1280"/>
      <c r="AB445" s="1280"/>
      <c r="AC445" s="1280"/>
      <c r="AD445" s="824"/>
      <c r="AE445" s="824"/>
      <c r="AF445" s="824"/>
      <c r="AG445" s="824"/>
      <c r="AH445" s="824"/>
      <c r="AI445" s="824"/>
      <c r="AJ445" s="824"/>
      <c r="AK445" s="824"/>
      <c r="AL445" s="824"/>
      <c r="AM445" s="824"/>
      <c r="AN445" s="824"/>
      <c r="AO445" s="824"/>
      <c r="AP445" s="824"/>
      <c r="AQ445" s="824"/>
      <c r="AR445" s="824"/>
      <c r="AS445" s="824"/>
      <c r="AT445" s="824"/>
      <c r="AU445" s="824"/>
      <c r="AV445" s="824"/>
    </row>
    <row r="446" spans="1:48" s="15" customFormat="1" x14ac:dyDescent="0.25">
      <c r="A446" s="1038"/>
      <c r="M446" s="16"/>
      <c r="T446" s="824"/>
      <c r="V446" s="1280"/>
      <c r="W446" s="1280"/>
      <c r="X446" s="1280"/>
      <c r="Y446" s="1280"/>
      <c r="Z446" s="1280"/>
      <c r="AA446" s="1280"/>
      <c r="AB446" s="1280"/>
      <c r="AC446" s="1280"/>
      <c r="AD446" s="824"/>
      <c r="AE446" s="824"/>
      <c r="AF446" s="824"/>
      <c r="AG446" s="824"/>
      <c r="AH446" s="824"/>
      <c r="AI446" s="824"/>
      <c r="AJ446" s="824"/>
      <c r="AK446" s="824"/>
      <c r="AL446" s="824"/>
      <c r="AM446" s="824"/>
      <c r="AN446" s="824"/>
      <c r="AO446" s="824"/>
      <c r="AP446" s="824"/>
      <c r="AQ446" s="824"/>
      <c r="AR446" s="824"/>
      <c r="AS446" s="824"/>
      <c r="AT446" s="824"/>
      <c r="AU446" s="824"/>
      <c r="AV446" s="824"/>
    </row>
    <row r="447" spans="1:48" s="15" customFormat="1" x14ac:dyDescent="0.25">
      <c r="A447" s="1038"/>
      <c r="M447" s="16"/>
      <c r="T447" s="824"/>
      <c r="V447" s="1280"/>
      <c r="W447" s="1280"/>
      <c r="X447" s="1280"/>
      <c r="Y447" s="1280"/>
      <c r="Z447" s="1280"/>
      <c r="AA447" s="1280"/>
      <c r="AB447" s="1280"/>
      <c r="AC447" s="1280"/>
      <c r="AD447" s="824"/>
      <c r="AE447" s="824"/>
      <c r="AF447" s="824"/>
      <c r="AG447" s="824"/>
      <c r="AH447" s="824"/>
      <c r="AI447" s="824"/>
      <c r="AJ447" s="824"/>
      <c r="AK447" s="824"/>
      <c r="AL447" s="824"/>
      <c r="AM447" s="824"/>
      <c r="AN447" s="824"/>
      <c r="AO447" s="824"/>
      <c r="AP447" s="824"/>
      <c r="AQ447" s="824"/>
      <c r="AR447" s="824"/>
      <c r="AS447" s="824"/>
      <c r="AT447" s="824"/>
      <c r="AU447" s="824"/>
      <c r="AV447" s="824"/>
    </row>
    <row r="448" spans="1:48" s="15" customFormat="1" x14ac:dyDescent="0.25">
      <c r="A448" s="1038"/>
      <c r="M448" s="16"/>
      <c r="T448" s="824"/>
      <c r="V448" s="1280"/>
      <c r="W448" s="1280"/>
      <c r="X448" s="1280"/>
      <c r="Y448" s="1280"/>
      <c r="Z448" s="1280"/>
      <c r="AA448" s="1280"/>
      <c r="AB448" s="1280"/>
      <c r="AC448" s="1280"/>
      <c r="AD448" s="824"/>
      <c r="AE448" s="824"/>
      <c r="AF448" s="824"/>
      <c r="AG448" s="824"/>
      <c r="AH448" s="824"/>
      <c r="AI448" s="824"/>
      <c r="AJ448" s="824"/>
      <c r="AK448" s="824"/>
      <c r="AL448" s="824"/>
      <c r="AM448" s="824"/>
      <c r="AN448" s="824"/>
      <c r="AO448" s="824"/>
      <c r="AP448" s="824"/>
      <c r="AQ448" s="824"/>
      <c r="AR448" s="824"/>
      <c r="AS448" s="824"/>
      <c r="AT448" s="824"/>
      <c r="AU448" s="824"/>
      <c r="AV448" s="824"/>
    </row>
    <row r="449" spans="1:48" s="15" customFormat="1" x14ac:dyDescent="0.25">
      <c r="A449" s="1038"/>
      <c r="M449" s="16"/>
      <c r="T449" s="824"/>
      <c r="V449" s="1280"/>
      <c r="W449" s="1280"/>
      <c r="X449" s="1280"/>
      <c r="Y449" s="1280"/>
      <c r="Z449" s="1280"/>
      <c r="AA449" s="1280"/>
      <c r="AB449" s="1280"/>
      <c r="AC449" s="1280"/>
      <c r="AD449" s="824"/>
      <c r="AE449" s="824"/>
      <c r="AF449" s="824"/>
      <c r="AG449" s="824"/>
      <c r="AH449" s="824"/>
      <c r="AI449" s="824"/>
      <c r="AJ449" s="824"/>
      <c r="AK449" s="824"/>
      <c r="AL449" s="824"/>
      <c r="AM449" s="824"/>
      <c r="AN449" s="824"/>
      <c r="AO449" s="824"/>
      <c r="AP449" s="824"/>
      <c r="AQ449" s="824"/>
      <c r="AR449" s="824"/>
      <c r="AS449" s="824"/>
      <c r="AT449" s="824"/>
      <c r="AU449" s="824"/>
      <c r="AV449" s="824"/>
    </row>
    <row r="450" spans="1:48" s="15" customFormat="1" x14ac:dyDescent="0.25">
      <c r="A450" s="1038"/>
      <c r="M450" s="16"/>
      <c r="T450" s="824"/>
      <c r="V450" s="1280"/>
      <c r="W450" s="1280"/>
      <c r="X450" s="1280"/>
      <c r="Y450" s="1280"/>
      <c r="Z450" s="1280"/>
      <c r="AA450" s="1280"/>
      <c r="AB450" s="1280"/>
      <c r="AC450" s="1280"/>
      <c r="AD450" s="824"/>
      <c r="AE450" s="824"/>
      <c r="AF450" s="824"/>
      <c r="AG450" s="824"/>
      <c r="AH450" s="824"/>
      <c r="AI450" s="824"/>
      <c r="AJ450" s="824"/>
      <c r="AK450" s="824"/>
      <c r="AL450" s="824"/>
      <c r="AM450" s="824"/>
      <c r="AN450" s="824"/>
      <c r="AO450" s="824"/>
      <c r="AP450" s="824"/>
      <c r="AQ450" s="824"/>
      <c r="AR450" s="824"/>
      <c r="AS450" s="824"/>
      <c r="AT450" s="824"/>
      <c r="AU450" s="824"/>
      <c r="AV450" s="824"/>
    </row>
    <row r="451" spans="1:48" s="15" customFormat="1" x14ac:dyDescent="0.25">
      <c r="A451" s="1038"/>
      <c r="M451" s="16"/>
      <c r="T451" s="824"/>
      <c r="V451" s="1280"/>
      <c r="W451" s="1280"/>
      <c r="X451" s="1280"/>
      <c r="Y451" s="1280"/>
      <c r="Z451" s="1280"/>
      <c r="AA451" s="1280"/>
      <c r="AB451" s="1280"/>
      <c r="AC451" s="1280"/>
      <c r="AD451" s="824"/>
      <c r="AE451" s="824"/>
      <c r="AF451" s="824"/>
      <c r="AG451" s="824"/>
      <c r="AH451" s="824"/>
      <c r="AI451" s="824"/>
      <c r="AJ451" s="824"/>
      <c r="AK451" s="824"/>
      <c r="AL451" s="824"/>
      <c r="AM451" s="824"/>
      <c r="AN451" s="824"/>
      <c r="AO451" s="824"/>
      <c r="AP451" s="824"/>
      <c r="AQ451" s="824"/>
      <c r="AR451" s="824"/>
      <c r="AS451" s="824"/>
      <c r="AT451" s="824"/>
      <c r="AU451" s="824"/>
      <c r="AV451" s="824"/>
    </row>
    <row r="452" spans="1:48" s="15" customFormat="1" x14ac:dyDescent="0.25">
      <c r="A452" s="1038"/>
      <c r="M452" s="16"/>
      <c r="T452" s="824"/>
      <c r="V452" s="1280"/>
      <c r="W452" s="1280"/>
      <c r="X452" s="1280"/>
      <c r="Y452" s="1280"/>
      <c r="Z452" s="1280"/>
      <c r="AA452" s="1280"/>
      <c r="AB452" s="1280"/>
      <c r="AC452" s="1280"/>
      <c r="AD452" s="824"/>
      <c r="AE452" s="824"/>
      <c r="AF452" s="824"/>
      <c r="AG452" s="824"/>
      <c r="AH452" s="824"/>
      <c r="AI452" s="824"/>
      <c r="AJ452" s="824"/>
      <c r="AK452" s="824"/>
      <c r="AL452" s="824"/>
      <c r="AM452" s="824"/>
      <c r="AN452" s="824"/>
      <c r="AO452" s="824"/>
      <c r="AP452" s="824"/>
      <c r="AQ452" s="824"/>
      <c r="AR452" s="824"/>
      <c r="AS452" s="824"/>
      <c r="AT452" s="824"/>
      <c r="AU452" s="824"/>
      <c r="AV452" s="824"/>
    </row>
    <row r="453" spans="1:48" s="15" customFormat="1" x14ac:dyDescent="0.25">
      <c r="A453" s="1038"/>
      <c r="M453" s="16"/>
      <c r="T453" s="824"/>
      <c r="V453" s="1280"/>
      <c r="W453" s="1280"/>
      <c r="X453" s="1280"/>
      <c r="Y453" s="1280"/>
      <c r="Z453" s="1280"/>
      <c r="AA453" s="1280"/>
      <c r="AB453" s="1280"/>
      <c r="AC453" s="1280"/>
      <c r="AD453" s="824"/>
      <c r="AE453" s="824"/>
      <c r="AF453" s="824"/>
      <c r="AG453" s="824"/>
      <c r="AH453" s="824"/>
      <c r="AI453" s="824"/>
      <c r="AJ453" s="824"/>
      <c r="AK453" s="824"/>
      <c r="AL453" s="824"/>
      <c r="AM453" s="824"/>
      <c r="AN453" s="824"/>
      <c r="AO453" s="824"/>
      <c r="AP453" s="824"/>
      <c r="AQ453" s="824"/>
      <c r="AR453" s="824"/>
      <c r="AS453" s="824"/>
      <c r="AT453" s="824"/>
      <c r="AU453" s="824"/>
      <c r="AV453" s="824"/>
    </row>
    <row r="454" spans="1:48" s="15" customFormat="1" x14ac:dyDescent="0.25">
      <c r="A454" s="1038"/>
      <c r="M454" s="16"/>
      <c r="T454" s="824"/>
      <c r="V454" s="1280"/>
      <c r="W454" s="1280"/>
      <c r="X454" s="1280"/>
      <c r="Y454" s="1280"/>
      <c r="Z454" s="1280"/>
      <c r="AA454" s="1280"/>
      <c r="AB454" s="1280"/>
      <c r="AC454" s="1280"/>
      <c r="AD454" s="824"/>
      <c r="AE454" s="824"/>
      <c r="AF454" s="824"/>
      <c r="AG454" s="824"/>
      <c r="AH454" s="824"/>
      <c r="AI454" s="824"/>
      <c r="AJ454" s="824"/>
      <c r="AK454" s="824"/>
      <c r="AL454" s="824"/>
      <c r="AM454" s="824"/>
      <c r="AN454" s="824"/>
      <c r="AO454" s="824"/>
      <c r="AP454" s="824"/>
      <c r="AQ454" s="824"/>
      <c r="AR454" s="824"/>
      <c r="AS454" s="824"/>
      <c r="AT454" s="824"/>
      <c r="AU454" s="824"/>
      <c r="AV454" s="824"/>
    </row>
    <row r="455" spans="1:48" s="15" customFormat="1" x14ac:dyDescent="0.25">
      <c r="A455" s="1038"/>
      <c r="M455" s="16"/>
      <c r="T455" s="824"/>
      <c r="V455" s="1280"/>
      <c r="W455" s="1280"/>
      <c r="X455" s="1280"/>
      <c r="Y455" s="1280"/>
      <c r="Z455" s="1280"/>
      <c r="AA455" s="1280"/>
      <c r="AB455" s="1280"/>
      <c r="AC455" s="1280"/>
      <c r="AD455" s="824"/>
      <c r="AE455" s="824"/>
      <c r="AF455" s="824"/>
      <c r="AG455" s="824"/>
      <c r="AH455" s="824"/>
      <c r="AI455" s="824"/>
      <c r="AJ455" s="824"/>
      <c r="AK455" s="824"/>
      <c r="AL455" s="824"/>
      <c r="AM455" s="824"/>
      <c r="AN455" s="824"/>
      <c r="AO455" s="824"/>
      <c r="AP455" s="824"/>
      <c r="AQ455" s="824"/>
      <c r="AR455" s="824"/>
      <c r="AS455" s="824"/>
      <c r="AT455" s="824"/>
      <c r="AU455" s="824"/>
      <c r="AV455" s="824"/>
    </row>
    <row r="456" spans="1:48" s="15" customFormat="1" x14ac:dyDescent="0.25">
      <c r="A456" s="1038"/>
      <c r="M456" s="16"/>
      <c r="T456" s="824"/>
      <c r="V456" s="1280"/>
      <c r="W456" s="1280"/>
      <c r="X456" s="1280"/>
      <c r="Y456" s="1280"/>
      <c r="Z456" s="1280"/>
      <c r="AA456" s="1280"/>
      <c r="AB456" s="1280"/>
      <c r="AC456" s="1280"/>
      <c r="AD456" s="824"/>
      <c r="AE456" s="824"/>
      <c r="AF456" s="824"/>
      <c r="AG456" s="824"/>
      <c r="AH456" s="824"/>
      <c r="AI456" s="824"/>
      <c r="AJ456" s="824"/>
      <c r="AK456" s="824"/>
      <c r="AL456" s="824"/>
      <c r="AM456" s="824"/>
      <c r="AN456" s="824"/>
      <c r="AO456" s="824"/>
      <c r="AP456" s="824"/>
      <c r="AQ456" s="824"/>
      <c r="AR456" s="824"/>
      <c r="AS456" s="824"/>
      <c r="AT456" s="824"/>
      <c r="AU456" s="824"/>
      <c r="AV456" s="824"/>
    </row>
    <row r="457" spans="1:48" s="15" customFormat="1" x14ac:dyDescent="0.25">
      <c r="A457" s="1038"/>
      <c r="M457" s="16"/>
      <c r="T457" s="824"/>
      <c r="V457" s="1280"/>
      <c r="W457" s="1280"/>
      <c r="X457" s="1280"/>
      <c r="Y457" s="1280"/>
      <c r="Z457" s="1280"/>
      <c r="AA457" s="1280"/>
      <c r="AB457" s="1280"/>
      <c r="AC457" s="1280"/>
      <c r="AD457" s="824"/>
      <c r="AE457" s="824"/>
      <c r="AF457" s="824"/>
      <c r="AG457" s="824"/>
      <c r="AH457" s="824"/>
      <c r="AI457" s="824"/>
      <c r="AJ457" s="824"/>
      <c r="AK457" s="824"/>
      <c r="AL457" s="824"/>
      <c r="AM457" s="824"/>
      <c r="AN457" s="824"/>
      <c r="AO457" s="824"/>
      <c r="AP457" s="824"/>
      <c r="AQ457" s="824"/>
      <c r="AR457" s="824"/>
      <c r="AS457" s="824"/>
      <c r="AT457" s="824"/>
      <c r="AU457" s="824"/>
      <c r="AV457" s="824"/>
    </row>
    <row r="458" spans="1:48" s="15" customFormat="1" x14ac:dyDescent="0.25">
      <c r="A458" s="1038"/>
      <c r="M458" s="16"/>
      <c r="T458" s="824"/>
      <c r="V458" s="1280"/>
      <c r="W458" s="1280"/>
      <c r="X458" s="1280"/>
      <c r="Y458" s="1280"/>
      <c r="Z458" s="1280"/>
      <c r="AA458" s="1280"/>
      <c r="AB458" s="1280"/>
      <c r="AC458" s="1280"/>
      <c r="AD458" s="824"/>
      <c r="AE458" s="824"/>
      <c r="AF458" s="824"/>
      <c r="AG458" s="824"/>
      <c r="AH458" s="824"/>
      <c r="AI458" s="824"/>
      <c r="AJ458" s="824"/>
      <c r="AK458" s="824"/>
      <c r="AL458" s="824"/>
      <c r="AM458" s="824"/>
      <c r="AN458" s="824"/>
      <c r="AO458" s="824"/>
      <c r="AP458" s="824"/>
      <c r="AQ458" s="824"/>
      <c r="AR458" s="824"/>
      <c r="AS458" s="824"/>
      <c r="AT458" s="824"/>
      <c r="AU458" s="824"/>
      <c r="AV458" s="824"/>
    </row>
    <row r="459" spans="1:48" s="15" customFormat="1" x14ac:dyDescent="0.25">
      <c r="A459" s="1038"/>
      <c r="M459" s="16"/>
      <c r="T459" s="824"/>
      <c r="V459" s="1280"/>
      <c r="W459" s="1280"/>
      <c r="X459" s="1280"/>
      <c r="Y459" s="1280"/>
      <c r="Z459" s="1280"/>
      <c r="AA459" s="1280"/>
      <c r="AB459" s="1280"/>
      <c r="AC459" s="1280"/>
      <c r="AD459" s="824"/>
      <c r="AE459" s="824"/>
      <c r="AF459" s="824"/>
      <c r="AG459" s="824"/>
      <c r="AH459" s="824"/>
      <c r="AI459" s="824"/>
      <c r="AJ459" s="824"/>
      <c r="AK459" s="824"/>
      <c r="AL459" s="824"/>
      <c r="AM459" s="824"/>
      <c r="AN459" s="824"/>
      <c r="AO459" s="824"/>
      <c r="AP459" s="824"/>
      <c r="AQ459" s="824"/>
      <c r="AR459" s="824"/>
      <c r="AS459" s="824"/>
      <c r="AT459" s="824"/>
      <c r="AU459" s="824"/>
      <c r="AV459" s="824"/>
    </row>
    <row r="460" spans="1:48" s="15" customFormat="1" x14ac:dyDescent="0.25">
      <c r="A460" s="1038"/>
      <c r="M460" s="16"/>
      <c r="T460" s="824"/>
      <c r="V460" s="1280"/>
      <c r="W460" s="1280"/>
      <c r="X460" s="1280"/>
      <c r="Y460" s="1280"/>
      <c r="Z460" s="1280"/>
      <c r="AA460" s="1280"/>
      <c r="AB460" s="1280"/>
      <c r="AC460" s="1280"/>
      <c r="AD460" s="824"/>
      <c r="AE460" s="824"/>
      <c r="AF460" s="824"/>
      <c r="AG460" s="824"/>
      <c r="AH460" s="824"/>
      <c r="AI460" s="824"/>
      <c r="AJ460" s="824"/>
      <c r="AK460" s="824"/>
      <c r="AL460" s="824"/>
      <c r="AM460" s="824"/>
      <c r="AN460" s="824"/>
      <c r="AO460" s="824"/>
      <c r="AP460" s="824"/>
      <c r="AQ460" s="824"/>
      <c r="AR460" s="824"/>
      <c r="AS460" s="824"/>
      <c r="AT460" s="824"/>
      <c r="AU460" s="824"/>
      <c r="AV460" s="824"/>
    </row>
    <row r="461" spans="1:48" s="15" customFormat="1" x14ac:dyDescent="0.25">
      <c r="A461" s="1038"/>
      <c r="M461" s="16"/>
      <c r="T461" s="824"/>
      <c r="V461" s="1280"/>
      <c r="W461" s="1280"/>
      <c r="X461" s="1280"/>
      <c r="Y461" s="1280"/>
      <c r="Z461" s="1280"/>
      <c r="AA461" s="1280"/>
      <c r="AB461" s="1280"/>
      <c r="AC461" s="1280"/>
      <c r="AD461" s="824"/>
      <c r="AE461" s="824"/>
      <c r="AF461" s="824"/>
      <c r="AG461" s="824"/>
      <c r="AH461" s="824"/>
      <c r="AI461" s="824"/>
      <c r="AJ461" s="824"/>
      <c r="AK461" s="824"/>
      <c r="AL461" s="824"/>
      <c r="AM461" s="824"/>
      <c r="AN461" s="824"/>
      <c r="AO461" s="824"/>
      <c r="AP461" s="824"/>
      <c r="AQ461" s="824"/>
      <c r="AR461" s="824"/>
      <c r="AS461" s="824"/>
      <c r="AT461" s="824"/>
      <c r="AU461" s="824"/>
      <c r="AV461" s="824"/>
    </row>
    <row r="462" spans="1:48" s="15" customFormat="1" x14ac:dyDescent="0.25">
      <c r="A462" s="1038"/>
      <c r="M462" s="16"/>
      <c r="T462" s="824"/>
      <c r="V462" s="1280"/>
      <c r="W462" s="1280"/>
      <c r="X462" s="1280"/>
      <c r="Y462" s="1280"/>
      <c r="Z462" s="1280"/>
      <c r="AA462" s="1280"/>
      <c r="AB462" s="1280"/>
      <c r="AC462" s="1280"/>
      <c r="AD462" s="824"/>
      <c r="AE462" s="824"/>
      <c r="AF462" s="824"/>
      <c r="AG462" s="824"/>
      <c r="AH462" s="824"/>
      <c r="AI462" s="824"/>
      <c r="AJ462" s="824"/>
      <c r="AK462" s="824"/>
      <c r="AL462" s="824"/>
      <c r="AM462" s="824"/>
      <c r="AN462" s="824"/>
      <c r="AO462" s="824"/>
      <c r="AP462" s="824"/>
      <c r="AQ462" s="824"/>
      <c r="AR462" s="824"/>
      <c r="AS462" s="824"/>
      <c r="AT462" s="824"/>
      <c r="AU462" s="824"/>
      <c r="AV462" s="824"/>
    </row>
    <row r="463" spans="1:48" s="15" customFormat="1" x14ac:dyDescent="0.25">
      <c r="A463" s="1038"/>
      <c r="M463" s="16"/>
      <c r="T463" s="824"/>
      <c r="V463" s="1280"/>
      <c r="W463" s="1280"/>
      <c r="X463" s="1280"/>
      <c r="Y463" s="1280"/>
      <c r="Z463" s="1280"/>
      <c r="AA463" s="1280"/>
      <c r="AB463" s="1280"/>
      <c r="AC463" s="1280"/>
      <c r="AD463" s="824"/>
      <c r="AE463" s="824"/>
      <c r="AF463" s="824"/>
      <c r="AG463" s="824"/>
      <c r="AH463" s="824"/>
      <c r="AI463" s="824"/>
      <c r="AJ463" s="824"/>
      <c r="AK463" s="824"/>
      <c r="AL463" s="824"/>
      <c r="AM463" s="824"/>
      <c r="AN463" s="824"/>
      <c r="AO463" s="824"/>
      <c r="AP463" s="824"/>
      <c r="AQ463" s="824"/>
      <c r="AR463" s="824"/>
      <c r="AS463" s="824"/>
      <c r="AT463" s="824"/>
      <c r="AU463" s="824"/>
      <c r="AV463" s="824"/>
    </row>
    <row r="464" spans="1:48" s="15" customFormat="1" x14ac:dyDescent="0.25">
      <c r="A464" s="1038"/>
      <c r="M464" s="16"/>
      <c r="T464" s="824"/>
      <c r="V464" s="1280"/>
      <c r="W464" s="1280"/>
      <c r="X464" s="1280"/>
      <c r="Y464" s="1280"/>
      <c r="Z464" s="1280"/>
      <c r="AA464" s="1280"/>
      <c r="AB464" s="1280"/>
      <c r="AC464" s="1280"/>
      <c r="AD464" s="824"/>
      <c r="AE464" s="824"/>
      <c r="AF464" s="824"/>
      <c r="AG464" s="824"/>
      <c r="AH464" s="824"/>
      <c r="AI464" s="824"/>
      <c r="AJ464" s="824"/>
      <c r="AK464" s="824"/>
      <c r="AL464" s="824"/>
      <c r="AM464" s="824"/>
      <c r="AN464" s="824"/>
      <c r="AO464" s="824"/>
      <c r="AP464" s="824"/>
      <c r="AQ464" s="824"/>
      <c r="AR464" s="824"/>
      <c r="AS464" s="824"/>
      <c r="AT464" s="824"/>
      <c r="AU464" s="824"/>
      <c r="AV464" s="824"/>
    </row>
  </sheetData>
  <sheetProtection algorithmName="SHA-512" hashValue="QoaUMP55eNngDFhkqr03M0TKncPQTZimB9ITkNzP70Vaus66T75j8sdbDrPg6islTR7GvwuT+1HYTVAJpuWtYg==" saltValue="poegM6ii1hQ6n+zpqnVZUQ==" spinCount="100000" sheet="1" objects="1" scenarios="1" selectLockedCells="1"/>
  <mergeCells count="27">
    <mergeCell ref="N21:P21"/>
    <mergeCell ref="F8:G8"/>
    <mergeCell ref="F25:G25"/>
    <mergeCell ref="N78:Q78"/>
    <mergeCell ref="E68:G68"/>
    <mergeCell ref="I25:M25"/>
    <mergeCell ref="E21:G21"/>
    <mergeCell ref="H21:J21"/>
    <mergeCell ref="Q31:R31"/>
    <mergeCell ref="J31:K31"/>
    <mergeCell ref="M31:N31"/>
    <mergeCell ref="I6:M6"/>
    <mergeCell ref="I19:M19"/>
    <mergeCell ref="I11:M11"/>
    <mergeCell ref="I15:M15"/>
    <mergeCell ref="K21:M21"/>
    <mergeCell ref="D95:E95"/>
    <mergeCell ref="C63:D63"/>
    <mergeCell ref="C64:D64"/>
    <mergeCell ref="C20:D20"/>
    <mergeCell ref="E48:G48"/>
    <mergeCell ref="E58:G58"/>
    <mergeCell ref="E31:H31"/>
    <mergeCell ref="C73:D73"/>
    <mergeCell ref="C74:D74"/>
    <mergeCell ref="C53:D53"/>
    <mergeCell ref="C54:D54"/>
  </mergeCells>
  <conditionalFormatting sqref="C35:R44 E82:E90">
    <cfRule type="expression" dxfId="51" priority="125">
      <formula>$C35 = $A$3</formula>
    </cfRule>
  </conditionalFormatting>
  <conditionalFormatting sqref="C82:Q91 C98:K103">
    <cfRule type="expression" dxfId="50" priority="67">
      <formula>$C82 = $A$3</formula>
    </cfRule>
  </conditionalFormatting>
  <conditionalFormatting sqref="E35:R35 E91:R92 E36:E41 G36:R41 E44:R82 F83:R88">
    <cfRule type="cellIs" dxfId="49" priority="28" operator="lessThan">
      <formula>0</formula>
    </cfRule>
  </conditionalFormatting>
  <conditionalFormatting sqref="E42 G42:R42">
    <cfRule type="cellIs" dxfId="48" priority="26" operator="lessThan">
      <formula>0</formula>
    </cfRule>
  </conditionalFormatting>
  <conditionalFormatting sqref="F89:R89">
    <cfRule type="cellIs" dxfId="47" priority="24" operator="lessThan">
      <formula>0</formula>
    </cfRule>
  </conditionalFormatting>
  <conditionalFormatting sqref="F36:F42">
    <cfRule type="cellIs" dxfId="46" priority="21" operator="lessThan">
      <formula>0</formula>
    </cfRule>
  </conditionalFormatting>
  <conditionalFormatting sqref="E83:E89">
    <cfRule type="cellIs" dxfId="45" priority="18" operator="lessThan">
      <formula>0</formula>
    </cfRule>
  </conditionalFormatting>
  <conditionalFormatting sqref="E43 G43:R43">
    <cfRule type="cellIs" dxfId="44" priority="15" operator="lessThan">
      <formula>0</formula>
    </cfRule>
  </conditionalFormatting>
  <conditionalFormatting sqref="F43">
    <cfRule type="cellIs" dxfId="43" priority="14" operator="lessThan">
      <formula>0</formula>
    </cfRule>
  </conditionalFormatting>
  <conditionalFormatting sqref="F90:R90">
    <cfRule type="cellIs" dxfId="42" priority="11" operator="lessThan">
      <formula>0</formula>
    </cfRule>
  </conditionalFormatting>
  <conditionalFormatting sqref="E90">
    <cfRule type="cellIs" dxfId="41" priority="10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86" r:id="rId4" name="CommandButton2">
          <controlPr defaultSize="0" autoFill="0" autoLine="0" r:id="rId5">
            <anchor moveWithCells="1">
              <from>
                <xdr:col>15</xdr:col>
                <xdr:colOff>371475</xdr:colOff>
                <xdr:row>6</xdr:row>
                <xdr:rowOff>0</xdr:rowOff>
              </from>
              <to>
                <xdr:col>17</xdr:col>
                <xdr:colOff>133350</xdr:colOff>
                <xdr:row>8</xdr:row>
                <xdr:rowOff>28575</xdr:rowOff>
              </to>
            </anchor>
          </controlPr>
        </control>
      </mc:Choice>
      <mc:Fallback>
        <control shapeId="20486" r:id="rId4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130"/>
  <dimension ref="A1:AV416"/>
  <sheetViews>
    <sheetView showGridLines="0" showRowColHeaders="0" showZeros="0" zoomScale="85" zoomScaleNormal="85" workbookViewId="0">
      <selection activeCell="A7" sqref="A7"/>
    </sheetView>
  </sheetViews>
  <sheetFormatPr defaultRowHeight="15" x14ac:dyDescent="0.25"/>
  <cols>
    <col min="1" max="1" width="2" style="96" customWidth="1"/>
    <col min="2" max="2" width="2.140625" style="17" customWidth="1"/>
    <col min="3" max="3" width="8.5703125" style="17" customWidth="1"/>
    <col min="4" max="4" width="12.140625" style="17" customWidth="1"/>
    <col min="5" max="5" width="13.140625" style="17" customWidth="1"/>
    <col min="6" max="6" width="13.28515625" style="17" customWidth="1"/>
    <col min="7" max="7" width="13.140625" style="17" customWidth="1"/>
    <col min="8" max="8" width="14.140625" style="17" customWidth="1"/>
    <col min="9" max="9" width="13.85546875" style="17" customWidth="1"/>
    <col min="10" max="10" width="13.7109375" style="17" customWidth="1"/>
    <col min="11" max="11" width="15.42578125" style="17" customWidth="1"/>
    <col min="12" max="12" width="13.5703125" style="17" customWidth="1"/>
    <col min="13" max="13" width="12.42578125" style="18" customWidth="1"/>
    <col min="14" max="14" width="11.85546875" style="17" customWidth="1"/>
    <col min="15" max="15" width="13.85546875" style="17" customWidth="1"/>
    <col min="16" max="16" width="14.42578125" style="17" customWidth="1"/>
    <col min="17" max="17" width="14" style="17" customWidth="1"/>
    <col min="18" max="18" width="11.28515625" style="17" customWidth="1"/>
    <col min="19" max="19" width="3.85546875" style="17" customWidth="1"/>
    <col min="20" max="20" width="4.7109375" style="17" customWidth="1"/>
    <col min="21" max="21" width="1.42578125" style="216" customWidth="1"/>
    <col min="22" max="22" width="12.28515625" style="822" customWidth="1"/>
    <col min="23" max="43" width="9.140625" style="822"/>
    <col min="44" max="16384" width="9.140625" style="17"/>
  </cols>
  <sheetData>
    <row r="1" spans="1:48" s="105" customFormat="1" ht="9.75" customHeight="1" thickBot="1" x14ac:dyDescent="0.3">
      <c r="A1" s="1286"/>
      <c r="M1" s="106"/>
      <c r="U1" s="212"/>
      <c r="V1" s="1044"/>
      <c r="W1" s="1044"/>
      <c r="X1" s="1044"/>
      <c r="Y1" s="1044"/>
      <c r="Z1" s="1044"/>
      <c r="AA1" s="1044"/>
      <c r="AB1" s="1044"/>
      <c r="AC1" s="1044"/>
      <c r="AD1" s="1044"/>
      <c r="AE1" s="1044"/>
      <c r="AF1" s="1044"/>
      <c r="AG1" s="1044"/>
      <c r="AH1" s="1044"/>
      <c r="AI1" s="1044"/>
      <c r="AJ1" s="1044"/>
      <c r="AK1" s="1044"/>
      <c r="AL1" s="1044"/>
      <c r="AM1" s="1044"/>
      <c r="AN1" s="1044"/>
      <c r="AO1" s="1044"/>
      <c r="AP1" s="1044"/>
      <c r="AQ1" s="1044"/>
    </row>
    <row r="2" spans="1:48" s="107" customFormat="1" ht="19.5" customHeight="1" x14ac:dyDescent="0.25">
      <c r="A2" s="1287"/>
      <c r="B2" s="192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4"/>
      <c r="N2" s="193"/>
      <c r="O2" s="193"/>
      <c r="P2" s="193"/>
      <c r="Q2" s="193"/>
      <c r="R2" s="193"/>
      <c r="S2" s="193"/>
      <c r="T2" s="195"/>
      <c r="U2" s="21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</row>
    <row r="3" spans="1:48" s="107" customFormat="1" x14ac:dyDescent="0.25">
      <c r="A3" s="1288">
        <f ca="1" xml:space="preserve"> Параметры!B8</f>
        <v>13</v>
      </c>
      <c r="B3" s="196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9"/>
      <c r="N3" s="108"/>
      <c r="O3" s="108"/>
      <c r="P3" s="108"/>
      <c r="Q3" s="108"/>
      <c r="R3" s="108"/>
      <c r="S3" s="108"/>
      <c r="T3" s="197"/>
      <c r="U3" s="786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</row>
    <row r="4" spans="1:48" s="107" customFormat="1" x14ac:dyDescent="0.25">
      <c r="A4" s="1287"/>
      <c r="B4" s="196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9"/>
      <c r="N4" s="108"/>
      <c r="O4" s="108"/>
      <c r="P4" s="108"/>
      <c r="Q4" s="108"/>
      <c r="R4" s="108"/>
      <c r="S4" s="108"/>
      <c r="T4" s="197"/>
      <c r="U4" s="786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</row>
    <row r="5" spans="1:48" s="107" customFormat="1" x14ac:dyDescent="0.25">
      <c r="A5" s="1287"/>
      <c r="B5" s="196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08"/>
      <c r="O5" s="108"/>
      <c r="P5" s="108"/>
      <c r="Q5" s="108"/>
      <c r="R5" s="108"/>
      <c r="S5" s="108"/>
      <c r="T5" s="197"/>
      <c r="U5" s="786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</row>
    <row r="6" spans="1:48" s="107" customFormat="1" x14ac:dyDescent="0.25">
      <c r="A6" s="1287"/>
      <c r="B6" s="196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9"/>
      <c r="N6" s="108"/>
      <c r="O6" s="108"/>
      <c r="P6" s="108"/>
      <c r="Q6" s="108"/>
      <c r="R6" s="108"/>
      <c r="S6" s="108"/>
      <c r="T6" s="197"/>
      <c r="U6" s="786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</row>
    <row r="7" spans="1:48" s="72" customFormat="1" ht="20.25" customHeight="1" x14ac:dyDescent="0.25">
      <c r="A7" s="97"/>
      <c r="B7" s="606"/>
      <c r="C7" s="469"/>
      <c r="D7" s="469"/>
      <c r="E7" s="469"/>
      <c r="F7" s="469"/>
      <c r="G7" s="469"/>
      <c r="H7" s="469"/>
      <c r="I7" s="1368" t="str">
        <f xml:space="preserve"> CONCATENATE("Расчет военная пенсия  с  ",TEXT('Исходные данные'!J12,"ДД.ММ.ГГГГ"))</f>
        <v>Расчет военная пенсия  с  15.08.2008</v>
      </c>
      <c r="J7" s="1362"/>
      <c r="K7" s="1362"/>
      <c r="L7" s="1362"/>
      <c r="M7" s="1370"/>
      <c r="N7" s="469"/>
      <c r="O7" s="469"/>
      <c r="P7" s="469"/>
      <c r="Q7" s="469"/>
      <c r="R7" s="469"/>
      <c r="S7" s="469"/>
      <c r="T7" s="513"/>
      <c r="U7" s="745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</row>
    <row r="8" spans="1:48" s="72" customFormat="1" ht="6" customHeight="1" x14ac:dyDescent="0.25">
      <c r="A8" s="97"/>
      <c r="B8" s="606"/>
      <c r="C8" s="469"/>
      <c r="D8" s="469"/>
      <c r="E8" s="469"/>
      <c r="F8" s="469"/>
      <c r="G8" s="469"/>
      <c r="H8" s="469"/>
      <c r="I8" s="469"/>
      <c r="J8" s="469"/>
      <c r="K8" s="469"/>
      <c r="L8" s="469"/>
      <c r="M8" s="470"/>
      <c r="N8" s="469"/>
      <c r="O8" s="469"/>
      <c r="P8" s="469"/>
      <c r="Q8" s="469"/>
      <c r="R8" s="469"/>
      <c r="S8" s="469"/>
      <c r="T8" s="513"/>
      <c r="U8" s="745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</row>
    <row r="9" spans="1:48" s="72" customFormat="1" ht="15" customHeight="1" x14ac:dyDescent="0.25">
      <c r="A9" s="97"/>
      <c r="B9" s="606"/>
      <c r="C9" s="469"/>
      <c r="D9" s="1104" t="s">
        <v>14</v>
      </c>
      <c r="E9" s="1105"/>
      <c r="F9" s="1375" t="str">
        <f>'Исходные данные'!E14</f>
        <v>Подполковник</v>
      </c>
      <c r="G9" s="1372"/>
      <c r="H9" s="1085" t="s">
        <v>278</v>
      </c>
      <c r="I9" s="1106">
        <f>'Исходные данные'!J14</f>
        <v>22</v>
      </c>
      <c r="J9" s="1085" t="s">
        <v>166</v>
      </c>
      <c r="K9" s="1107">
        <f>'Исходные данные'!J16</f>
        <v>1</v>
      </c>
      <c r="L9" s="1104" t="s">
        <v>38</v>
      </c>
      <c r="M9" s="1108">
        <f>'Исходные данные'!N16</f>
        <v>0.8</v>
      </c>
      <c r="N9" s="1085" t="s">
        <v>165</v>
      </c>
      <c r="O9" s="1107">
        <f>'Исходные данные'!J18</f>
        <v>1</v>
      </c>
      <c r="P9" s="744"/>
      <c r="Q9" s="469"/>
      <c r="R9" s="469"/>
      <c r="S9" s="469"/>
      <c r="T9" s="513"/>
      <c r="U9" s="745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</row>
    <row r="10" spans="1:48" s="72" customFormat="1" ht="12.75" customHeight="1" x14ac:dyDescent="0.25">
      <c r="A10" s="97"/>
      <c r="B10" s="606"/>
      <c r="C10" s="469"/>
      <c r="D10" s="469"/>
      <c r="E10" s="469"/>
      <c r="F10" s="861"/>
      <c r="G10" s="469"/>
      <c r="H10" s="820"/>
      <c r="I10" s="820"/>
      <c r="J10" s="820"/>
      <c r="K10" s="820"/>
      <c r="L10" s="820"/>
      <c r="M10" s="842"/>
      <c r="N10" s="820"/>
      <c r="O10" s="820"/>
      <c r="P10" s="820"/>
      <c r="Q10" s="469"/>
      <c r="R10" s="469"/>
      <c r="S10" s="469"/>
      <c r="T10" s="513"/>
      <c r="U10" s="745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</row>
    <row r="11" spans="1:48" s="72" customFormat="1" ht="15.75" customHeight="1" x14ac:dyDescent="0.25">
      <c r="A11" s="97"/>
      <c r="B11" s="606"/>
      <c r="C11" s="469"/>
      <c r="D11" s="744"/>
      <c r="E11" s="744"/>
      <c r="F11" s="744"/>
      <c r="G11" s="744"/>
      <c r="H11" s="744"/>
      <c r="I11" s="1361" t="str">
        <f xml:space="preserve">  CONCATENATE("Военная пенсия на ",TEXT('Исходные данные'!J12,"ДД.ММ.ГГГГ"))</f>
        <v>Военная пенсия на 15.08.2008</v>
      </c>
      <c r="J11" s="1395"/>
      <c r="K11" s="1395"/>
      <c r="L11" s="1395"/>
      <c r="M11" s="1370"/>
      <c r="N11" s="744"/>
      <c r="O11" s="744"/>
      <c r="P11" s="744"/>
      <c r="Q11" s="1067"/>
      <c r="R11" s="1067"/>
      <c r="S11" s="469"/>
      <c r="T11" s="513"/>
      <c r="U11" s="745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</row>
    <row r="12" spans="1:48" s="72" customFormat="1" ht="6" customHeight="1" x14ac:dyDescent="0.25">
      <c r="A12" s="97"/>
      <c r="B12" s="606"/>
      <c r="C12" s="469"/>
      <c r="D12" s="446"/>
      <c r="E12" s="1069"/>
      <c r="F12" s="744"/>
      <c r="G12" s="446"/>
      <c r="H12" s="1067"/>
      <c r="I12" s="1067"/>
      <c r="J12" s="446"/>
      <c r="K12" s="446"/>
      <c r="L12" s="446"/>
      <c r="M12" s="1082"/>
      <c r="N12" s="1072"/>
      <c r="O12" s="1073"/>
      <c r="P12" s="1096"/>
      <c r="Q12" s="1071"/>
      <c r="R12" s="1067"/>
      <c r="S12" s="469"/>
      <c r="T12" s="513"/>
      <c r="U12" s="745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</row>
    <row r="13" spans="1:48" s="72" customFormat="1" ht="18" customHeight="1" x14ac:dyDescent="0.25">
      <c r="A13" s="97"/>
      <c r="B13" s="606"/>
      <c r="C13" s="469"/>
      <c r="D13" s="1088" t="s">
        <v>279</v>
      </c>
      <c r="E13" s="1126">
        <f ca="1" xml:space="preserve"> VLOOKUP(Параметры!B7,__ВПрасч1,7,0)</f>
        <v>42560</v>
      </c>
      <c r="F13" s="1088" t="s">
        <v>1</v>
      </c>
      <c r="G13" s="1127">
        <f ca="1">VLOOKUP(Параметры!$B$7,__Периоды,3,0)</f>
        <v>0.54</v>
      </c>
      <c r="H13" s="1095" t="s">
        <v>280</v>
      </c>
      <c r="I13" s="1126">
        <f ca="1">$E$13*$G$13</f>
        <v>22982.400000000001</v>
      </c>
      <c r="J13" s="1085" t="s">
        <v>228</v>
      </c>
      <c r="K13" s="1127">
        <f ca="1">VLOOKUP(Параметры!$B$7,__Периоды,10,0)</f>
        <v>0</v>
      </c>
      <c r="L13" s="1088" t="s">
        <v>239</v>
      </c>
      <c r="M13" s="1126">
        <f ca="1">ROUND(I13*K13,2)</f>
        <v>0</v>
      </c>
      <c r="N13" s="1088" t="s">
        <v>229</v>
      </c>
      <c r="O13" s="1126">
        <f ca="1">I13+M13</f>
        <v>22982.400000000001</v>
      </c>
      <c r="P13" s="1088" t="s">
        <v>281</v>
      </c>
      <c r="Q13" s="1126">
        <f ca="1">(VLOOKUP(Параметры!$B$7,__ВПрасч1,5,0) + VLOOKUP(Параметры!$B$7,__ВПрасч1,6,0)) * 1.4 *'Исходные данные'!$N$18 *G13 *O9 +ROUND((VLOOKUP(Параметры!$B$7,__ВПрасч1,5,0) + VLOOKUP(Параметры!$B$7,__ВПрасч1,6,0)) * 1.4 *'Исходные данные'!$N$18 *G13 *K13*O9,2)</f>
        <v>11491.2</v>
      </c>
      <c r="R13" s="744"/>
      <c r="S13" s="820"/>
      <c r="T13" s="513"/>
      <c r="U13" s="745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48" s="72" customFormat="1" ht="18" customHeight="1" x14ac:dyDescent="0.25">
      <c r="A14" s="97"/>
      <c r="B14" s="606"/>
      <c r="C14" s="1096"/>
      <c r="D14" s="1096"/>
      <c r="E14" s="1086"/>
      <c r="F14" s="1080"/>
      <c r="G14" s="860"/>
      <c r="H14" s="860"/>
      <c r="I14" s="860"/>
      <c r="J14" s="860"/>
      <c r="K14" s="860"/>
      <c r="L14" s="860"/>
      <c r="M14" s="1078"/>
      <c r="N14" s="1079"/>
      <c r="O14" s="1080"/>
      <c r="P14" s="1081"/>
      <c r="Q14" s="1066"/>
      <c r="R14" s="1066"/>
      <c r="S14" s="1109"/>
      <c r="T14" s="513"/>
      <c r="U14" s="745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</row>
    <row r="15" spans="1:48" s="72" customFormat="1" ht="18" customHeight="1" x14ac:dyDescent="0.25">
      <c r="A15" s="97"/>
      <c r="B15" s="606"/>
      <c r="C15" s="446"/>
      <c r="D15" s="446"/>
      <c r="E15" s="446"/>
      <c r="F15" s="446"/>
      <c r="G15" s="446"/>
      <c r="H15" s="446"/>
      <c r="I15" s="1368" t="str">
        <f ca="1" xml:space="preserve"> CONCATENATE("Перерасчет военой пенсии с  ",TEXT(VLOOKUP(Параметры!B7 + 1,__ВПрасч1,2,0),"ДД.ММ.ГГГГ"))</f>
        <v>Перерасчет военой пенсии с  01.01.2013</v>
      </c>
      <c r="J15" s="1369"/>
      <c r="K15" s="1369"/>
      <c r="L15" s="1369"/>
      <c r="M15" s="1370"/>
      <c r="N15" s="446"/>
      <c r="O15" s="446"/>
      <c r="P15" s="446"/>
      <c r="Q15" s="446"/>
      <c r="R15" s="446"/>
      <c r="S15" s="1109"/>
      <c r="T15" s="513"/>
      <c r="U15" s="745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</row>
    <row r="16" spans="1:48" s="72" customFormat="1" ht="4.5" customHeight="1" x14ac:dyDescent="0.25">
      <c r="A16" s="97"/>
      <c r="B16" s="606"/>
      <c r="C16" s="1366"/>
      <c r="D16" s="1366"/>
      <c r="E16" s="1086"/>
      <c r="F16" s="1092"/>
      <c r="G16" s="1071"/>
      <c r="H16" s="848"/>
      <c r="I16" s="848"/>
      <c r="J16" s="848"/>
      <c r="K16" s="848"/>
      <c r="L16" s="848"/>
      <c r="M16" s="848"/>
      <c r="N16" s="848"/>
      <c r="O16" s="848"/>
      <c r="P16" s="848"/>
      <c r="Q16" s="848"/>
      <c r="R16" s="848"/>
      <c r="S16" s="469"/>
      <c r="T16" s="513"/>
      <c r="U16" s="745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</row>
    <row r="17" spans="1:48" s="72" customFormat="1" ht="18" customHeight="1" x14ac:dyDescent="0.25">
      <c r="A17" s="97"/>
      <c r="B17" s="606"/>
      <c r="C17" s="469"/>
      <c r="D17" s="1297"/>
      <c r="E17" s="1374" t="str">
        <f ca="1">IF(E20&gt;0,CONCATENATE("Индексация ОДС на ",TEXT(E20,"0,00%")),"")</f>
        <v/>
      </c>
      <c r="F17" s="1347"/>
      <c r="G17" s="1347"/>
      <c r="H17" s="1346" t="str">
        <f ca="1">IF(G19&gt;G13,CONCATENATE("Изменение КК до ",TEXT(G19,"0,00%"))," ")</f>
        <v>Изменение КК до 56,00%</v>
      </c>
      <c r="I17" s="1372"/>
      <c r="J17" s="1372"/>
      <c r="K17" s="1346" t="str">
        <f ca="1">IF(I20&gt;0,CONCATENATE("Изменение ВПназ на ",TEXT(I20,"0,00%")),"")</f>
        <v>Изменение ВПназ на 3,70%</v>
      </c>
      <c r="L17" s="1347"/>
      <c r="M17" s="1347"/>
      <c r="N17" s="1346" t="str">
        <f ca="1">IF(O20=0," ",CONCATENATE("Изменение выплаты на ",TEXT(O20,"0,00%")))</f>
        <v>Изменение выплаты на 3,70%</v>
      </c>
      <c r="O17" s="1347"/>
      <c r="P17" s="1348"/>
      <c r="Q17" s="87"/>
      <c r="R17" s="1110"/>
      <c r="S17" s="1111"/>
      <c r="T17" s="513"/>
      <c r="U17" s="745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</row>
    <row r="18" spans="1:48" s="72" customFormat="1" ht="3" customHeight="1" x14ac:dyDescent="0.25">
      <c r="A18" s="97"/>
      <c r="B18" s="606"/>
      <c r="C18" s="469"/>
      <c r="D18" s="1111"/>
      <c r="E18" s="1111"/>
      <c r="F18" s="1066"/>
      <c r="G18" s="1072"/>
      <c r="H18" s="1077"/>
      <c r="I18" s="1072"/>
      <c r="J18" s="1077"/>
      <c r="K18" s="1072"/>
      <c r="L18" s="1077"/>
      <c r="M18" s="1072"/>
      <c r="N18" s="1077"/>
      <c r="O18" s="1072"/>
      <c r="P18" s="1077"/>
      <c r="Q18" s="1084"/>
      <c r="R18" s="848"/>
      <c r="S18" s="1111"/>
      <c r="T18" s="513"/>
      <c r="U18" s="745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</row>
    <row r="19" spans="1:48" s="72" customFormat="1" ht="18" customHeight="1" x14ac:dyDescent="0.25">
      <c r="A19" s="97"/>
      <c r="B19" s="606"/>
      <c r="C19" s="469"/>
      <c r="D19" s="1088" t="s">
        <v>279</v>
      </c>
      <c r="E19" s="1089">
        <f ca="1" xml:space="preserve"> VLOOKUP(Параметры!B7 + 1,__ВПрасч1,7,0)</f>
        <v>42560</v>
      </c>
      <c r="F19" s="1088" t="s">
        <v>1</v>
      </c>
      <c r="G19" s="1090">
        <f ca="1">VLOOKUP(Параметры!$B7+1,__Периоды,3,0)</f>
        <v>0.56000000000000005</v>
      </c>
      <c r="H19" s="1088" t="s">
        <v>280</v>
      </c>
      <c r="I19" s="1089">
        <f ca="1">$E$19*$G$19</f>
        <v>23833.600000000002</v>
      </c>
      <c r="J19" s="1085" t="s">
        <v>228</v>
      </c>
      <c r="K19" s="1090">
        <f ca="1">VLOOKUP(Параметры!$B7 + 1,__Периоды,10,0)</f>
        <v>0</v>
      </c>
      <c r="L19" s="1088" t="s">
        <v>239</v>
      </c>
      <c r="M19" s="1089">
        <f ca="1">ROUND(I19*K19,2)</f>
        <v>0</v>
      </c>
      <c r="N19" s="1088" t="s">
        <v>229</v>
      </c>
      <c r="O19" s="1089">
        <f ca="1">I19+M19</f>
        <v>23833.600000000002</v>
      </c>
      <c r="P19" s="1088" t="s">
        <v>281</v>
      </c>
      <c r="Q19" s="1089">
        <f ca="1">(VLOOKUP(Параметры!B7 +1,__ВПрасч1,5,0) + VLOOKUP(Параметры!B7+1,__ВПрасч1,6,0)) * 1.4 *'Исходные данные'!N18 *G19 *(1+K19)*O9</f>
        <v>11916.800000000001</v>
      </c>
      <c r="R19" s="1112"/>
      <c r="S19" s="1112"/>
      <c r="T19" s="513"/>
      <c r="U19" s="745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</row>
    <row r="20" spans="1:48" s="72" customFormat="1" ht="3.75" customHeight="1" x14ac:dyDescent="0.25">
      <c r="A20" s="97"/>
      <c r="B20" s="606"/>
      <c r="C20" s="469"/>
      <c r="D20" s="1111"/>
      <c r="E20" s="723">
        <f ca="1">E19/E13 - 1</f>
        <v>0</v>
      </c>
      <c r="F20" s="446"/>
      <c r="G20" s="1093"/>
      <c r="H20" s="1093"/>
      <c r="I20" s="1093">
        <f ca="1">I19/I13 - 1</f>
        <v>3.7037037037036979E-2</v>
      </c>
      <c r="J20" s="1093"/>
      <c r="K20" s="1093"/>
      <c r="L20" s="1093"/>
      <c r="M20" s="1094"/>
      <c r="N20" s="1093"/>
      <c r="O20" s="1093">
        <f ca="1" xml:space="preserve"> O19/O13 - 1</f>
        <v>3.7037037037036979E-2</v>
      </c>
      <c r="P20" s="446"/>
      <c r="Q20" s="446"/>
      <c r="R20" s="1113"/>
      <c r="S20" s="945"/>
      <c r="T20" s="513"/>
      <c r="U20" s="745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</row>
    <row r="21" spans="1:48" s="72" customFormat="1" ht="18" customHeight="1" x14ac:dyDescent="0.25">
      <c r="A21" s="97"/>
      <c r="B21" s="606"/>
      <c r="C21" s="469"/>
      <c r="D21" s="1111"/>
      <c r="E21" s="1111"/>
      <c r="F21" s="1097"/>
      <c r="G21" s="1364"/>
      <c r="H21" s="1394"/>
      <c r="I21" s="487"/>
      <c r="J21" s="1164"/>
      <c r="K21" s="487"/>
      <c r="L21" s="1164"/>
      <c r="M21" s="1165"/>
      <c r="N21" s="1164"/>
      <c r="O21" s="87"/>
      <c r="P21" s="87"/>
      <c r="Q21" s="87"/>
      <c r="R21" s="1114"/>
      <c r="S21" s="1115"/>
      <c r="T21" s="513"/>
      <c r="U21" s="745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</row>
    <row r="22" spans="1:48" s="72" customFormat="1" ht="11.25" customHeight="1" x14ac:dyDescent="0.25">
      <c r="A22" s="97"/>
      <c r="B22" s="606"/>
      <c r="C22" s="469"/>
      <c r="D22" s="469"/>
      <c r="E22" s="469"/>
      <c r="F22" s="469"/>
      <c r="G22" s="469"/>
      <c r="H22" s="820"/>
      <c r="I22" s="820"/>
      <c r="J22" s="820"/>
      <c r="K22" s="843"/>
      <c r="L22" s="844"/>
      <c r="M22" s="845"/>
      <c r="N22" s="846"/>
      <c r="O22" s="820"/>
      <c r="P22" s="820"/>
      <c r="Q22" s="469"/>
      <c r="R22" s="469"/>
      <c r="S22" s="469"/>
      <c r="T22" s="513"/>
      <c r="U22" s="745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</row>
    <row r="23" spans="1:48" s="72" customFormat="1" ht="5.25" customHeight="1" x14ac:dyDescent="0.25">
      <c r="A23" s="97"/>
      <c r="B23" s="649"/>
      <c r="C23" s="650"/>
      <c r="D23" s="650"/>
      <c r="E23" s="650"/>
      <c r="F23" s="650"/>
      <c r="G23" s="650"/>
      <c r="H23" s="650"/>
      <c r="I23" s="650"/>
      <c r="J23" s="650"/>
      <c r="K23" s="650"/>
      <c r="L23" s="650"/>
      <c r="M23" s="650"/>
      <c r="N23" s="650"/>
      <c r="O23" s="650"/>
      <c r="P23" s="650"/>
      <c r="Q23" s="650"/>
      <c r="R23" s="650"/>
      <c r="S23" s="650"/>
      <c r="T23" s="652"/>
      <c r="U23" s="745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</row>
    <row r="24" spans="1:48" s="107" customFormat="1" ht="18" customHeight="1" x14ac:dyDescent="0.25">
      <c r="A24" s="1287"/>
      <c r="B24" s="196"/>
      <c r="C24" s="108"/>
      <c r="D24" s="108"/>
      <c r="E24" s="108"/>
      <c r="F24" s="108"/>
      <c r="G24" s="108"/>
      <c r="H24" s="108"/>
      <c r="I24" s="108"/>
      <c r="J24" s="108"/>
      <c r="K24" s="110"/>
      <c r="L24" s="111"/>
      <c r="M24" s="112"/>
      <c r="N24" s="113"/>
      <c r="O24" s="108"/>
      <c r="P24" s="108"/>
      <c r="Q24" s="108"/>
      <c r="R24" s="108"/>
      <c r="S24" s="108"/>
      <c r="T24" s="197"/>
      <c r="U24" s="786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</row>
    <row r="25" spans="1:48" s="120" customFormat="1" ht="14.25" customHeight="1" x14ac:dyDescent="0.25">
      <c r="A25" s="1289"/>
      <c r="B25" s="198"/>
      <c r="C25" s="114"/>
      <c r="D25" s="115" t="s">
        <v>160</v>
      </c>
      <c r="E25" s="116"/>
      <c r="F25" s="117" t="s">
        <v>162</v>
      </c>
      <c r="G25" s="117"/>
      <c r="H25" s="117"/>
      <c r="I25" s="117"/>
      <c r="J25" s="153"/>
      <c r="K25" s="116"/>
      <c r="L25" s="114"/>
      <c r="M25" s="122"/>
      <c r="N25" s="119"/>
      <c r="O25" s="114"/>
      <c r="P25" s="114"/>
      <c r="Q25" s="114"/>
      <c r="R25" s="114"/>
      <c r="S25" s="114"/>
      <c r="T25" s="199"/>
      <c r="U25" s="787"/>
    </row>
    <row r="26" spans="1:48" s="143" customFormat="1" ht="12" customHeight="1" thickBot="1" x14ac:dyDescent="0.3">
      <c r="A26" s="1290"/>
      <c r="B26" s="196"/>
      <c r="C26" s="141"/>
      <c r="D26" s="141"/>
      <c r="E26" s="140"/>
      <c r="F26" s="140"/>
      <c r="G26" s="141"/>
      <c r="H26" s="141"/>
      <c r="I26" s="141"/>
      <c r="J26" s="154"/>
      <c r="K26" s="155"/>
      <c r="L26" s="155"/>
      <c r="M26" s="156"/>
      <c r="N26" s="157"/>
      <c r="O26" s="155"/>
      <c r="P26" s="155"/>
      <c r="Q26" s="155"/>
      <c r="R26" s="155"/>
      <c r="S26" s="155"/>
      <c r="T26" s="201"/>
      <c r="U26" s="786"/>
    </row>
    <row r="27" spans="1:48" s="126" customFormat="1" ht="13.5" customHeight="1" x14ac:dyDescent="0.25">
      <c r="A27" s="1291">
        <f ca="1">COUNT(C31:C35)</f>
        <v>4</v>
      </c>
      <c r="B27" s="202"/>
      <c r="C27" s="123" t="s">
        <v>2</v>
      </c>
      <c r="D27" s="123" t="s">
        <v>0</v>
      </c>
      <c r="E27" s="1391" t="s">
        <v>192</v>
      </c>
      <c r="F27" s="1393"/>
      <c r="G27" s="1393"/>
      <c r="H27" s="1392"/>
      <c r="I27" s="123" t="s">
        <v>36</v>
      </c>
      <c r="J27" s="1391" t="s">
        <v>143</v>
      </c>
      <c r="K27" s="1392"/>
      <c r="L27" s="123" t="s">
        <v>31</v>
      </c>
      <c r="M27" s="1391" t="s">
        <v>144</v>
      </c>
      <c r="N27" s="1392"/>
      <c r="O27" s="123" t="s">
        <v>8</v>
      </c>
      <c r="P27" s="123" t="s">
        <v>9</v>
      </c>
      <c r="Q27" s="1391" t="s">
        <v>33</v>
      </c>
      <c r="R27" s="1392"/>
      <c r="S27" s="124"/>
      <c r="T27" s="203"/>
      <c r="U27" s="788"/>
    </row>
    <row r="28" spans="1:48" s="126" customFormat="1" ht="13.5" customHeight="1" x14ac:dyDescent="0.25">
      <c r="A28" s="183">
        <f ca="1">Параметры!B4-Параметры!B7+1</f>
        <v>17</v>
      </c>
      <c r="B28" s="202"/>
      <c r="C28" s="127" t="s">
        <v>15</v>
      </c>
      <c r="D28" s="127" t="s">
        <v>17</v>
      </c>
      <c r="E28" s="128" t="s">
        <v>1</v>
      </c>
      <c r="F28" s="158" t="s">
        <v>70</v>
      </c>
      <c r="G28" s="129" t="s">
        <v>5</v>
      </c>
      <c r="H28" s="130" t="s">
        <v>7</v>
      </c>
      <c r="I28" s="127"/>
      <c r="J28" s="159" t="s">
        <v>16</v>
      </c>
      <c r="K28" s="160" t="s">
        <v>9</v>
      </c>
      <c r="L28" s="127"/>
      <c r="M28" s="159" t="s">
        <v>16</v>
      </c>
      <c r="N28" s="160" t="s">
        <v>9</v>
      </c>
      <c r="O28" s="127"/>
      <c r="P28" s="127" t="s">
        <v>145</v>
      </c>
      <c r="Q28" s="159" t="s">
        <v>16</v>
      </c>
      <c r="R28" s="160" t="s">
        <v>9</v>
      </c>
      <c r="S28" s="124"/>
      <c r="T28" s="203"/>
      <c r="U28" s="788"/>
    </row>
    <row r="29" spans="1:48" s="120" customFormat="1" ht="7.5" customHeight="1" thickBot="1" x14ac:dyDescent="0.3">
      <c r="A29" s="1289">
        <f ca="1">IF(A27=A28,0,1)</f>
        <v>1</v>
      </c>
      <c r="B29" s="198"/>
      <c r="C29" s="131"/>
      <c r="D29" s="132"/>
      <c r="E29" s="132"/>
      <c r="F29" s="161"/>
      <c r="G29" s="134"/>
      <c r="H29" s="162"/>
      <c r="I29" s="132"/>
      <c r="J29" s="163"/>
      <c r="K29" s="162"/>
      <c r="L29" s="132"/>
      <c r="M29" s="163"/>
      <c r="N29" s="162"/>
      <c r="O29" s="132"/>
      <c r="P29" s="132"/>
      <c r="Q29" s="163"/>
      <c r="R29" s="162"/>
      <c r="S29" s="114"/>
      <c r="T29" s="199"/>
      <c r="U29" s="787"/>
    </row>
    <row r="30" spans="1:48" s="143" customFormat="1" ht="3.75" customHeight="1" x14ac:dyDescent="0.25">
      <c r="A30" s="1287"/>
      <c r="B30" s="200"/>
      <c r="C30" s="1144">
        <f ca="1">Параметры!B7-1</f>
        <v>0</v>
      </c>
      <c r="D30" s="1145"/>
      <c r="E30" s="1146"/>
      <c r="F30" s="1146"/>
      <c r="G30" s="1147"/>
      <c r="H30" s="1148"/>
      <c r="I30" s="1149">
        <f ca="1">I31</f>
        <v>42560</v>
      </c>
      <c r="J30" s="1150"/>
      <c r="K30" s="1151"/>
      <c r="L30" s="1149">
        <f ca="1">L31</f>
        <v>22982.400000000001</v>
      </c>
      <c r="M30" s="1150"/>
      <c r="N30" s="1151"/>
      <c r="O30" s="1149">
        <f t="shared" ref="O30:O32" ca="1" si="0">I30-L30</f>
        <v>19577.599999999999</v>
      </c>
      <c r="P30" s="1146"/>
      <c r="Q30" s="1152"/>
      <c r="R30" s="1151"/>
      <c r="S30" s="141"/>
      <c r="T30" s="204"/>
      <c r="U30" s="786"/>
    </row>
    <row r="31" spans="1:48" s="143" customFormat="1" ht="15" customHeight="1" x14ac:dyDescent="0.25">
      <c r="A31" s="1287"/>
      <c r="B31" s="200"/>
      <c r="C31" s="136">
        <f t="shared" ref="C31:C34" ca="1" si="1">C30+1</f>
        <v>1</v>
      </c>
      <c r="D31" s="164">
        <f>'Исходные данные'!J12</f>
        <v>39675</v>
      </c>
      <c r="E31" s="165">
        <f t="shared" ref="E31:E32" ca="1" si="2">VLOOKUP(C31,__Периоды,3,0)</f>
        <v>0.54</v>
      </c>
      <c r="F31" s="165">
        <f ca="1">IF(C31=Параметры!$B$7,0,VLOOKUP(C31,__Периоды,4,0))</f>
        <v>0</v>
      </c>
      <c r="G31" s="865">
        <f ca="1">HLOOKUP(C31,__ОкладыТР,MATCH('Исходные данные'!$J$14,__СписокТР,0)+5)*'Исходные данные'!$J$16</f>
        <v>26000</v>
      </c>
      <c r="H31" s="866">
        <f ca="1">HLOOKUP(C31,__ОкладыВЗ,MATCH('Исходные данные'!$E$14,__СписокВЗ,0)+5)</f>
        <v>12000</v>
      </c>
      <c r="I31" s="867">
        <f t="shared" ref="I31:I32" ca="1" si="3">(G31+H31)*1.4*$M$9*$O$9</f>
        <v>42560</v>
      </c>
      <c r="J31" s="868">
        <f t="shared" ref="J31:J32" ca="1" si="4">I31-I30</f>
        <v>0</v>
      </c>
      <c r="K31" s="103">
        <f t="shared" ref="K31:K32" ca="1" si="5">J31/I30</f>
        <v>0</v>
      </c>
      <c r="L31" s="867">
        <f t="shared" ref="L31:L32" ca="1" si="6">I31*E31</f>
        <v>22982.400000000001</v>
      </c>
      <c r="M31" s="462">
        <f t="shared" ref="M31:M32" ca="1" si="7">L31-L30</f>
        <v>0</v>
      </c>
      <c r="N31" s="103">
        <f t="shared" ref="N31:N32" ca="1" si="8">M31/L30</f>
        <v>0</v>
      </c>
      <c r="O31" s="867">
        <f t="shared" ca="1" si="0"/>
        <v>19577.599999999999</v>
      </c>
      <c r="P31" s="165">
        <f t="shared" ref="P31:P32" ca="1" si="9">O31/I31</f>
        <v>0.45999999999999996</v>
      </c>
      <c r="Q31" s="854">
        <f t="shared" ref="Q31:Q32" ca="1" si="10">O31-O30</f>
        <v>0</v>
      </c>
      <c r="R31" s="103"/>
      <c r="S31" s="141"/>
      <c r="T31" s="204"/>
      <c r="U31" s="786"/>
    </row>
    <row r="32" spans="1:48" s="143" customFormat="1" ht="15" customHeight="1" x14ac:dyDescent="0.25">
      <c r="A32" s="1287"/>
      <c r="B32" s="200"/>
      <c r="C32" s="136">
        <f t="shared" ca="1" si="1"/>
        <v>2</v>
      </c>
      <c r="D32" s="164">
        <f t="shared" ref="D32" ca="1" si="11">VLOOKUP(C32,__Периоды,2,0)</f>
        <v>41275</v>
      </c>
      <c r="E32" s="165">
        <f t="shared" ca="1" si="2"/>
        <v>0.56000000000000005</v>
      </c>
      <c r="F32" s="165">
        <f ca="1">IF(C32=Параметры!$B$7,0,VLOOKUP(C32,__Периоды,4,0))</f>
        <v>0</v>
      </c>
      <c r="G32" s="865">
        <f ca="1">HLOOKUP(C32,__ОкладыТР,MATCH('Исходные данные'!$J$14,__СписокТР,0)+5)*'Исходные данные'!$J$16</f>
        <v>26000</v>
      </c>
      <c r="H32" s="866">
        <f ca="1">HLOOKUP(C32,__ОкладыВЗ,MATCH('Исходные данные'!$E$14,__СписокВЗ,0)+5)</f>
        <v>12000</v>
      </c>
      <c r="I32" s="867">
        <f t="shared" ca="1" si="3"/>
        <v>42560</v>
      </c>
      <c r="J32" s="868">
        <f t="shared" ca="1" si="4"/>
        <v>0</v>
      </c>
      <c r="K32" s="103">
        <f t="shared" ca="1" si="5"/>
        <v>0</v>
      </c>
      <c r="L32" s="867">
        <f t="shared" ca="1" si="6"/>
        <v>23833.600000000002</v>
      </c>
      <c r="M32" s="462">
        <f t="shared" ca="1" si="7"/>
        <v>851.20000000000073</v>
      </c>
      <c r="N32" s="103">
        <f t="shared" ca="1" si="8"/>
        <v>3.703703703703707E-2</v>
      </c>
      <c r="O32" s="867">
        <f t="shared" ca="1" si="0"/>
        <v>18726.399999999998</v>
      </c>
      <c r="P32" s="165">
        <f t="shared" ca="1" si="9"/>
        <v>0.43999999999999995</v>
      </c>
      <c r="Q32" s="854">
        <f t="shared" ca="1" si="10"/>
        <v>-851.20000000000073</v>
      </c>
      <c r="R32" s="103">
        <f t="shared" ref="R32" ca="1" si="12">IF(O31 &gt; 0,Q32/O31,0)</f>
        <v>-4.3478260869565258E-2</v>
      </c>
      <c r="S32" s="141"/>
      <c r="T32" s="204"/>
      <c r="U32" s="786"/>
    </row>
    <row r="33" spans="1:21" s="143" customFormat="1" ht="15" customHeight="1" x14ac:dyDescent="0.25">
      <c r="A33" s="1287"/>
      <c r="B33" s="200"/>
      <c r="C33" s="136">
        <f t="shared" ca="1" si="1"/>
        <v>3</v>
      </c>
      <c r="D33" s="164">
        <f t="shared" ref="D33" ca="1" si="13">VLOOKUP(C33,__Периоды,2,0)</f>
        <v>41548</v>
      </c>
      <c r="E33" s="165">
        <f t="shared" ref="E33" ca="1" si="14">VLOOKUP(C33,__Периоды,3,0)</f>
        <v>0.58050000000000002</v>
      </c>
      <c r="F33" s="165">
        <f ca="1">IF(C33=Параметры!$B$7,0,VLOOKUP(C33,__Периоды,4,0))</f>
        <v>0</v>
      </c>
      <c r="G33" s="865">
        <f ca="1">HLOOKUP(C33,__ОкладыТР,MATCH('Исходные данные'!$J$14,__СписокТР,0)+5)*'Исходные данные'!$J$16</f>
        <v>26000</v>
      </c>
      <c r="H33" s="866">
        <f ca="1">HLOOKUP(C33,__ОкладыВЗ,MATCH('Исходные данные'!$E$14,__СписокВЗ,0)+5)</f>
        <v>12000</v>
      </c>
      <c r="I33" s="867">
        <f t="shared" ref="I33" ca="1" si="15">(G33+H33)*1.4*$M$9*$O$9</f>
        <v>42560</v>
      </c>
      <c r="J33" s="868">
        <f t="shared" ref="J33" ca="1" si="16">I33-I32</f>
        <v>0</v>
      </c>
      <c r="K33" s="103">
        <f t="shared" ref="K33" ca="1" si="17">J33/I32</f>
        <v>0</v>
      </c>
      <c r="L33" s="867">
        <f t="shared" ref="L33" ca="1" si="18">I33*E33</f>
        <v>24706.080000000002</v>
      </c>
      <c r="M33" s="462">
        <f t="shared" ref="M33" ca="1" si="19">L33-L32</f>
        <v>872.47999999999956</v>
      </c>
      <c r="N33" s="103">
        <f t="shared" ref="N33" ca="1" si="20">M33/L32</f>
        <v>3.6607142857142838E-2</v>
      </c>
      <c r="O33" s="867">
        <f t="shared" ref="O33" ca="1" si="21">I33-L33</f>
        <v>17853.919999999998</v>
      </c>
      <c r="P33" s="165">
        <f t="shared" ref="P33" ca="1" si="22">O33/I33</f>
        <v>0.41949999999999998</v>
      </c>
      <c r="Q33" s="854">
        <f t="shared" ref="Q33" ca="1" si="23">O33-O32</f>
        <v>-872.47999999999956</v>
      </c>
      <c r="R33" s="103">
        <f t="shared" ref="R33" ca="1" si="24">IF(O32 &gt; 0,Q33/O32,0)</f>
        <v>-4.6590909090909072E-2</v>
      </c>
      <c r="S33" s="141"/>
      <c r="T33" s="204"/>
      <c r="U33" s="786"/>
    </row>
    <row r="34" spans="1:21" s="143" customFormat="1" ht="15" customHeight="1" x14ac:dyDescent="0.25">
      <c r="A34" s="1287"/>
      <c r="B34" s="200"/>
      <c r="C34" s="136">
        <f t="shared" ca="1" si="1"/>
        <v>4</v>
      </c>
      <c r="D34" s="164">
        <f t="shared" ref="D34" ca="1" si="25">VLOOKUP(C34,__Периоды,2,0)</f>
        <v>41640</v>
      </c>
      <c r="E34" s="165">
        <f t="shared" ref="E34" ca="1" si="26">VLOOKUP(C34,__Периоды,3,0)</f>
        <v>0.60050000000000003</v>
      </c>
      <c r="F34" s="165">
        <f ca="1">IF(C34=Параметры!$B$7,0,VLOOKUP(C34,__Периоды,4,0))</f>
        <v>0</v>
      </c>
      <c r="G34" s="865">
        <f ca="1">HLOOKUP(C34,__ОкладыТР,MATCH('Исходные данные'!$J$14,__СписокТР,0)+5)*'Исходные данные'!$J$16</f>
        <v>26000</v>
      </c>
      <c r="H34" s="866">
        <f ca="1">HLOOKUP(C34,__ОкладыВЗ,MATCH('Исходные данные'!$E$14,__СписокВЗ,0)+5)</f>
        <v>12000</v>
      </c>
      <c r="I34" s="867">
        <f t="shared" ref="I34" ca="1" si="27">(G34+H34)*1.4*$M$9*$O$9</f>
        <v>42560</v>
      </c>
      <c r="J34" s="868">
        <f t="shared" ref="J34" ca="1" si="28">I34-I33</f>
        <v>0</v>
      </c>
      <c r="K34" s="103">
        <f t="shared" ref="K34" ca="1" si="29">J34/I33</f>
        <v>0</v>
      </c>
      <c r="L34" s="867">
        <f t="shared" ref="L34" ca="1" si="30">I34*E34</f>
        <v>25557.280000000002</v>
      </c>
      <c r="M34" s="462">
        <f t="shared" ref="M34" ca="1" si="31">L34-L33</f>
        <v>851.20000000000073</v>
      </c>
      <c r="N34" s="103">
        <f t="shared" ref="N34" ca="1" si="32">M34/L33</f>
        <v>3.4453057708871693E-2</v>
      </c>
      <c r="O34" s="867">
        <f t="shared" ref="O34" ca="1" si="33">I34-L34</f>
        <v>17002.719999999998</v>
      </c>
      <c r="P34" s="165">
        <f t="shared" ref="P34" ca="1" si="34">O34/I34</f>
        <v>0.39949999999999997</v>
      </c>
      <c r="Q34" s="854">
        <f t="shared" ref="Q34" ca="1" si="35">O34-O33</f>
        <v>-851.20000000000073</v>
      </c>
      <c r="R34" s="103">
        <f t="shared" ref="R34" ca="1" si="36">IF(O33 &gt; 0,Q34/O33,0)</f>
        <v>-4.7675804529201476E-2</v>
      </c>
      <c r="S34" s="141"/>
      <c r="T34" s="204"/>
      <c r="U34" s="786"/>
    </row>
    <row r="35" spans="1:21" s="143" customFormat="1" ht="15" customHeight="1" thickBot="1" x14ac:dyDescent="0.3">
      <c r="A35" s="1287"/>
      <c r="B35" s="200"/>
      <c r="C35" s="166"/>
      <c r="D35" s="145"/>
      <c r="E35" s="146"/>
      <c r="F35" s="146"/>
      <c r="G35" s="464"/>
      <c r="H35" s="465"/>
      <c r="I35" s="466"/>
      <c r="J35" s="869"/>
      <c r="K35" s="167"/>
      <c r="L35" s="466"/>
      <c r="M35" s="463"/>
      <c r="N35" s="167"/>
      <c r="O35" s="466"/>
      <c r="P35" s="146"/>
      <c r="Q35" s="855"/>
      <c r="R35" s="167"/>
      <c r="S35" s="141"/>
      <c r="T35" s="204"/>
      <c r="U35" s="786"/>
    </row>
    <row r="36" spans="1:21" s="143" customFormat="1" ht="13.5" customHeight="1" x14ac:dyDescent="0.25">
      <c r="A36" s="1287"/>
      <c r="B36" s="200"/>
      <c r="C36" s="155"/>
      <c r="D36" s="168"/>
      <c r="E36" s="169"/>
      <c r="F36" s="169"/>
      <c r="G36" s="155"/>
      <c r="H36" s="155"/>
      <c r="I36" s="155"/>
      <c r="J36" s="154"/>
      <c r="K36" s="155"/>
      <c r="L36" s="155"/>
      <c r="M36" s="156"/>
      <c r="N36" s="157"/>
      <c r="O36" s="155"/>
      <c r="P36" s="155"/>
      <c r="Q36" s="155"/>
      <c r="R36" s="155"/>
      <c r="S36" s="155"/>
      <c r="T36" s="201"/>
      <c r="U36" s="786"/>
    </row>
    <row r="37" spans="1:21" s="120" customFormat="1" ht="13.5" customHeight="1" x14ac:dyDescent="0.25">
      <c r="A37" s="1289"/>
      <c r="B37" s="198"/>
      <c r="C37" s="114"/>
      <c r="D37" s="115" t="s">
        <v>161</v>
      </c>
      <c r="E37" s="116"/>
      <c r="F37" s="190" t="str">
        <f>CONCATENATE(" Прогноз изменения военной пенсии  с  ",TEXT(D42,"ДД.ММ.ГГГГ")," по ",TEXT(D43,"ДД.ММ.ГГГГ"))</f>
        <v xml:space="preserve"> Прогноз изменения военной пенсии  с  15.08.2008 по 01.10.2024</v>
      </c>
      <c r="G37" s="191"/>
      <c r="H37" s="117"/>
      <c r="I37" s="118"/>
      <c r="J37" s="117"/>
      <c r="K37" s="116"/>
      <c r="L37" s="205"/>
      <c r="M37" s="205"/>
      <c r="N37" s="119"/>
      <c r="O37" s="114"/>
      <c r="P37" s="114"/>
      <c r="Q37" s="114"/>
      <c r="R37" s="114"/>
      <c r="S37" s="114"/>
      <c r="T37" s="199"/>
      <c r="U37" s="787"/>
    </row>
    <row r="38" spans="1:21" s="120" customFormat="1" ht="3.75" customHeight="1" thickBot="1" x14ac:dyDescent="0.3">
      <c r="A38" s="1289"/>
      <c r="B38" s="198"/>
      <c r="C38" s="114"/>
      <c r="D38" s="114"/>
      <c r="E38" s="114"/>
      <c r="F38" s="114"/>
      <c r="G38" s="114"/>
      <c r="H38" s="114"/>
      <c r="I38" s="114"/>
      <c r="J38" s="121"/>
      <c r="K38" s="114"/>
      <c r="L38" s="114"/>
      <c r="M38" s="122"/>
      <c r="N38" s="119"/>
      <c r="O38" s="114"/>
      <c r="P38" s="114"/>
      <c r="Q38" s="114"/>
      <c r="R38" s="114"/>
      <c r="S38" s="114"/>
      <c r="T38" s="199"/>
      <c r="U38" s="787"/>
    </row>
    <row r="39" spans="1:21" s="126" customFormat="1" ht="13.5" customHeight="1" x14ac:dyDescent="0.25">
      <c r="A39" s="1292"/>
      <c r="B39" s="202"/>
      <c r="C39" s="123" t="s">
        <v>2</v>
      </c>
      <c r="D39" s="123" t="s">
        <v>0</v>
      </c>
      <c r="E39" s="1391" t="s">
        <v>192</v>
      </c>
      <c r="F39" s="1393"/>
      <c r="G39" s="1392"/>
      <c r="H39" s="123" t="s">
        <v>36</v>
      </c>
      <c r="I39" s="123" t="s">
        <v>31</v>
      </c>
      <c r="J39" s="123" t="s">
        <v>8</v>
      </c>
      <c r="K39" s="123" t="s">
        <v>9</v>
      </c>
      <c r="L39" s="124"/>
      <c r="M39" s="124"/>
      <c r="N39" s="124"/>
      <c r="O39" s="124"/>
      <c r="P39" s="125"/>
      <c r="Q39" s="125"/>
      <c r="R39" s="124"/>
      <c r="S39" s="124"/>
      <c r="T39" s="203"/>
      <c r="U39" s="788"/>
    </row>
    <row r="40" spans="1:21" s="126" customFormat="1" ht="13.5" customHeight="1" x14ac:dyDescent="0.25">
      <c r="A40" s="1292"/>
      <c r="B40" s="202"/>
      <c r="C40" s="127" t="s">
        <v>15</v>
      </c>
      <c r="D40" s="127" t="s">
        <v>17</v>
      </c>
      <c r="E40" s="128" t="s">
        <v>1</v>
      </c>
      <c r="F40" s="129" t="s">
        <v>5</v>
      </c>
      <c r="G40" s="130" t="s">
        <v>7</v>
      </c>
      <c r="H40" s="127"/>
      <c r="I40" s="127"/>
      <c r="J40" s="127"/>
      <c r="K40" s="127" t="s">
        <v>145</v>
      </c>
      <c r="L40" s="124"/>
      <c r="M40" s="124"/>
      <c r="N40" s="124"/>
      <c r="O40" s="124"/>
      <c r="P40" s="124"/>
      <c r="Q40" s="124"/>
      <c r="R40" s="124"/>
      <c r="S40" s="124"/>
      <c r="T40" s="203"/>
      <c r="U40" s="788"/>
    </row>
    <row r="41" spans="1:21" s="120" customFormat="1" ht="7.5" customHeight="1" thickBot="1" x14ac:dyDescent="0.3">
      <c r="A41" s="1289"/>
      <c r="B41" s="198"/>
      <c r="C41" s="131"/>
      <c r="D41" s="132"/>
      <c r="E41" s="133"/>
      <c r="F41" s="134"/>
      <c r="G41" s="135"/>
      <c r="H41" s="133"/>
      <c r="I41" s="133"/>
      <c r="J41" s="133"/>
      <c r="K41" s="133"/>
      <c r="L41" s="121"/>
      <c r="M41" s="114"/>
      <c r="N41" s="114"/>
      <c r="O41" s="122"/>
      <c r="P41" s="121"/>
      <c r="Q41" s="114"/>
      <c r="R41" s="114"/>
      <c r="S41" s="114"/>
      <c r="T41" s="199"/>
      <c r="U41" s="787"/>
    </row>
    <row r="42" spans="1:21" s="143" customFormat="1" ht="15" customHeight="1" x14ac:dyDescent="0.25">
      <c r="A42" s="1287"/>
      <c r="B42" s="200"/>
      <c r="C42" s="136">
        <f ca="1">Параметры!B7</f>
        <v>1</v>
      </c>
      <c r="D42" s="137">
        <f>'Исходные данные'!J12</f>
        <v>39675</v>
      </c>
      <c r="E42" s="138">
        <f ca="1">VLOOKUP(C42,__Периоды,3,0)</f>
        <v>0.54</v>
      </c>
      <c r="F42" s="829">
        <f ca="1">VLOOKUP($C42,__ВПрасч3,5,0)</f>
        <v>26000</v>
      </c>
      <c r="G42" s="829">
        <f ca="1">VLOOKUP($C42,__ВПрасч3,6,0)</f>
        <v>12000</v>
      </c>
      <c r="H42" s="829">
        <f ca="1">VLOOKUP($C42,__ВПрасч3,7,0)</f>
        <v>42560</v>
      </c>
      <c r="I42" s="830">
        <f ca="1">H42*E42</f>
        <v>22982.400000000001</v>
      </c>
      <c r="J42" s="830">
        <f ca="1">H42-I42</f>
        <v>19577.599999999999</v>
      </c>
      <c r="K42" s="138">
        <f ca="1">J42/H42</f>
        <v>0.45999999999999996</v>
      </c>
      <c r="L42" s="139"/>
      <c r="M42" s="140"/>
      <c r="N42" s="141"/>
      <c r="O42" s="140"/>
      <c r="P42" s="142"/>
      <c r="Q42" s="140"/>
      <c r="R42" s="141"/>
      <c r="S42" s="141"/>
      <c r="T42" s="204"/>
      <c r="U42" s="786"/>
    </row>
    <row r="43" spans="1:21" s="143" customFormat="1" ht="15" customHeight="1" thickBot="1" x14ac:dyDescent="0.3">
      <c r="A43" s="1287"/>
      <c r="B43" s="200"/>
      <c r="C43" s="144">
        <f>Параметры!B4</f>
        <v>17</v>
      </c>
      <c r="D43" s="145">
        <f>VLOOKUP(C43,__Периоды,2,0)</f>
        <v>45566</v>
      </c>
      <c r="E43" s="146">
        <f>VLOOKUP(C43,__Периоды,3,0)</f>
        <v>0.78</v>
      </c>
      <c r="F43" s="834" t="e">
        <f ca="1">VLOOKUP($C43,__ВПрасч3,5,0)</f>
        <v>#N/A</v>
      </c>
      <c r="G43" s="834" t="e">
        <f ca="1">VLOOKUP($C43,__ВПрасч3,6,0)</f>
        <v>#N/A</v>
      </c>
      <c r="H43" s="834" t="e">
        <f ca="1">VLOOKUP($C43,__ВПрасч3,7,0)</f>
        <v>#N/A</v>
      </c>
      <c r="I43" s="828" t="e">
        <f ca="1">H43*E43</f>
        <v>#N/A</v>
      </c>
      <c r="J43" s="835" t="e">
        <f ca="1">H43-I43</f>
        <v>#N/A</v>
      </c>
      <c r="K43" s="146" t="e">
        <f ca="1">J43/H43</f>
        <v>#N/A</v>
      </c>
      <c r="L43" s="139"/>
      <c r="M43" s="140"/>
      <c r="N43" s="141"/>
      <c r="O43" s="140"/>
      <c r="P43" s="142"/>
      <c r="Q43" s="140"/>
      <c r="R43" s="141"/>
      <c r="S43" s="141"/>
      <c r="T43" s="204"/>
      <c r="U43" s="786"/>
    </row>
    <row r="44" spans="1:21" s="143" customFormat="1" ht="15" customHeight="1" x14ac:dyDescent="0.25">
      <c r="A44" s="1287"/>
      <c r="B44" s="200"/>
      <c r="C44" s="1387" t="s">
        <v>146</v>
      </c>
      <c r="D44" s="1388"/>
      <c r="E44" s="147">
        <f t="shared" ref="E44:J44" ca="1" si="37">E43-E42</f>
        <v>0.24</v>
      </c>
      <c r="F44" s="856" t="e">
        <f t="shared" ca="1" si="37"/>
        <v>#N/A</v>
      </c>
      <c r="G44" s="857" t="e">
        <f t="shared" ca="1" si="37"/>
        <v>#N/A</v>
      </c>
      <c r="H44" s="858" t="e">
        <f t="shared" ca="1" si="37"/>
        <v>#N/A</v>
      </c>
      <c r="I44" s="858" t="e">
        <f t="shared" ca="1" si="37"/>
        <v>#N/A</v>
      </c>
      <c r="J44" s="858" t="e">
        <f t="shared" ca="1" si="37"/>
        <v>#N/A</v>
      </c>
      <c r="K44" s="147" t="e">
        <f ca="1">K43-K42</f>
        <v>#N/A</v>
      </c>
      <c r="L44" s="148"/>
      <c r="M44" s="141"/>
      <c r="N44" s="141"/>
      <c r="O44" s="140"/>
      <c r="P44" s="149"/>
      <c r="Q44" s="141"/>
      <c r="R44" s="141"/>
      <c r="S44" s="141"/>
      <c r="T44" s="204"/>
      <c r="U44" s="786"/>
    </row>
    <row r="45" spans="1:21" s="143" customFormat="1" ht="15" customHeight="1" thickBot="1" x14ac:dyDescent="0.3">
      <c r="A45" s="1287"/>
      <c r="B45" s="200"/>
      <c r="C45" s="1389" t="s">
        <v>23</v>
      </c>
      <c r="D45" s="1390"/>
      <c r="E45" s="150"/>
      <c r="F45" s="455" t="e">
        <f ca="1">F44/F42</f>
        <v>#N/A</v>
      </c>
      <c r="G45" s="456" t="e">
        <f ca="1">G44/G42</f>
        <v>#N/A</v>
      </c>
      <c r="H45" s="150" t="e">
        <f ca="1">H44/H42</f>
        <v>#N/A</v>
      </c>
      <c r="I45" s="150" t="e">
        <f ca="1">I44/I42</f>
        <v>#N/A</v>
      </c>
      <c r="J45" s="456" t="e">
        <f ca="1">IF(J42 &gt; 0,J44/J42,0)</f>
        <v>#N/A</v>
      </c>
      <c r="K45" s="456"/>
      <c r="L45" s="151"/>
      <c r="M45" s="152"/>
      <c r="N45" s="152"/>
      <c r="O45" s="152"/>
      <c r="P45" s="151"/>
      <c r="Q45" s="152"/>
      <c r="R45" s="141"/>
      <c r="S45" s="141"/>
      <c r="T45" s="204"/>
      <c r="U45" s="786"/>
    </row>
    <row r="46" spans="1:21" s="120" customFormat="1" ht="13.5" customHeight="1" x14ac:dyDescent="0.25">
      <c r="A46" s="1289"/>
      <c r="B46" s="198"/>
      <c r="C46" s="977"/>
      <c r="D46" s="977"/>
      <c r="E46" s="977"/>
      <c r="F46" s="977"/>
      <c r="G46" s="977"/>
      <c r="H46" s="977"/>
      <c r="I46" s="977"/>
      <c r="J46" s="978"/>
      <c r="K46" s="977"/>
      <c r="L46" s="977"/>
      <c r="M46" s="979"/>
      <c r="N46" s="980"/>
      <c r="O46" s="977"/>
      <c r="P46" s="977"/>
      <c r="Q46" s="977"/>
      <c r="R46" s="977"/>
      <c r="S46" s="977"/>
      <c r="T46" s="992"/>
      <c r="U46" s="787"/>
    </row>
    <row r="47" spans="1:21" s="91" customFormat="1" ht="13.5" customHeight="1" x14ac:dyDescent="0.25">
      <c r="A47" s="98"/>
      <c r="B47" s="541"/>
      <c r="C47" s="476"/>
      <c r="D47" s="477" t="s">
        <v>247</v>
      </c>
      <c r="E47" s="478"/>
      <c r="F47" s="479" t="s">
        <v>231</v>
      </c>
      <c r="G47" s="479"/>
      <c r="H47" s="479"/>
      <c r="I47" s="479"/>
      <c r="J47" s="479"/>
      <c r="K47" s="476"/>
      <c r="L47" s="476"/>
      <c r="M47" s="481"/>
      <c r="N47" s="482"/>
      <c r="O47" s="476"/>
      <c r="P47" s="476"/>
      <c r="Q47" s="476"/>
      <c r="R47" s="476"/>
      <c r="S47" s="476"/>
      <c r="T47" s="483"/>
      <c r="U47" s="778"/>
    </row>
    <row r="48" spans="1:21" s="90" customFormat="1" ht="7.5" customHeight="1" thickBot="1" x14ac:dyDescent="0.3">
      <c r="A48" s="179"/>
      <c r="B48" s="543"/>
      <c r="C48" s="484"/>
      <c r="D48" s="484"/>
      <c r="E48" s="485"/>
      <c r="F48" s="485"/>
      <c r="G48" s="484"/>
      <c r="H48" s="484"/>
      <c r="I48" s="484"/>
      <c r="J48" s="486"/>
      <c r="K48" s="487"/>
      <c r="L48" s="487"/>
      <c r="M48" s="488"/>
      <c r="N48" s="489"/>
      <c r="O48" s="487"/>
      <c r="P48" s="487"/>
      <c r="Q48" s="487"/>
      <c r="R48" s="487"/>
      <c r="S48" s="487"/>
      <c r="T48" s="513"/>
      <c r="U48" s="779"/>
    </row>
    <row r="49" spans="1:26" s="93" customFormat="1" ht="13.5" customHeight="1" x14ac:dyDescent="0.25">
      <c r="A49" s="181">
        <f ca="1">COUNT(C53:C57)</f>
        <v>4</v>
      </c>
      <c r="B49" s="607"/>
      <c r="C49" s="490" t="s">
        <v>2</v>
      </c>
      <c r="D49" s="490" t="s">
        <v>0</v>
      </c>
      <c r="E49" s="908" t="s">
        <v>70</v>
      </c>
      <c r="F49" s="925" t="s">
        <v>36</v>
      </c>
      <c r="G49" s="901" t="s">
        <v>237</v>
      </c>
      <c r="H49" s="908" t="s">
        <v>1</v>
      </c>
      <c r="I49" s="925" t="s">
        <v>31</v>
      </c>
      <c r="J49" s="901" t="s">
        <v>237</v>
      </c>
      <c r="K49" s="900" t="s">
        <v>228</v>
      </c>
      <c r="L49" s="933" t="s">
        <v>239</v>
      </c>
      <c r="M49" s="934" t="s">
        <v>229</v>
      </c>
      <c r="N49" s="1350" t="s">
        <v>264</v>
      </c>
      <c r="O49" s="1350"/>
      <c r="P49" s="1359"/>
      <c r="Q49" s="1360"/>
      <c r="R49" s="943"/>
      <c r="S49" s="943"/>
      <c r="T49" s="491"/>
      <c r="U49" s="780"/>
      <c r="W49" s="982"/>
      <c r="X49" s="982"/>
      <c r="Y49" s="982"/>
      <c r="Z49" s="982"/>
    </row>
    <row r="50" spans="1:26" s="93" customFormat="1" ht="13.5" customHeight="1" x14ac:dyDescent="0.25">
      <c r="A50" s="183">
        <f ca="1">Параметры!B4-Параметры!B7+1</f>
        <v>17</v>
      </c>
      <c r="B50" s="607"/>
      <c r="C50" s="492" t="s">
        <v>15</v>
      </c>
      <c r="D50" s="492" t="s">
        <v>17</v>
      </c>
      <c r="E50" s="909"/>
      <c r="F50" s="926"/>
      <c r="G50" s="902" t="s">
        <v>238</v>
      </c>
      <c r="H50" s="909"/>
      <c r="I50" s="926"/>
      <c r="J50" s="902" t="s">
        <v>238</v>
      </c>
      <c r="K50" s="911"/>
      <c r="L50" s="935" t="s">
        <v>263</v>
      </c>
      <c r="M50" s="936" t="s">
        <v>56</v>
      </c>
      <c r="N50" s="497" t="s">
        <v>192</v>
      </c>
      <c r="O50" s="917" t="s">
        <v>9</v>
      </c>
      <c r="P50" s="918" t="s">
        <v>240</v>
      </c>
      <c r="Q50" s="914" t="s">
        <v>9</v>
      </c>
      <c r="R50" s="943"/>
      <c r="S50" s="943"/>
      <c r="T50" s="491"/>
      <c r="U50" s="780"/>
      <c r="W50" s="982"/>
      <c r="X50" s="982"/>
      <c r="Y50" s="982"/>
      <c r="Z50" s="982"/>
    </row>
    <row r="51" spans="1:26" s="91" customFormat="1" ht="15" customHeight="1" thickBot="1" x14ac:dyDescent="0.3">
      <c r="A51" s="98">
        <f ca="1">IF(A49=A50,0,1)</f>
        <v>1</v>
      </c>
      <c r="B51" s="610"/>
      <c r="C51" s="499"/>
      <c r="D51" s="500"/>
      <c r="E51" s="910"/>
      <c r="F51" s="927"/>
      <c r="G51" s="903"/>
      <c r="H51" s="910"/>
      <c r="I51" s="927"/>
      <c r="J51" s="903"/>
      <c r="K51" s="912"/>
      <c r="L51" s="937"/>
      <c r="M51" s="938"/>
      <c r="N51" s="504"/>
      <c r="O51" s="919"/>
      <c r="P51" s="920"/>
      <c r="Q51" s="611"/>
      <c r="R51" s="944"/>
      <c r="S51" s="944"/>
      <c r="T51" s="483"/>
      <c r="U51" s="778"/>
      <c r="W51" s="983"/>
      <c r="X51" s="984"/>
      <c r="Y51" s="984"/>
      <c r="Z51" s="983"/>
    </row>
    <row r="52" spans="1:26" s="90" customFormat="1" ht="3" customHeight="1" x14ac:dyDescent="0.25">
      <c r="A52" s="97"/>
      <c r="B52" s="612"/>
      <c r="C52" s="961">
        <f ca="1">Параметры!B7-1</f>
        <v>0</v>
      </c>
      <c r="D52" s="962"/>
      <c r="E52" s="963"/>
      <c r="F52" s="964">
        <f ca="1">F53</f>
        <v>42560</v>
      </c>
      <c r="G52" s="965"/>
      <c r="H52" s="963"/>
      <c r="I52" s="966">
        <f ca="1">I53</f>
        <v>22982.400000000001</v>
      </c>
      <c r="J52" s="965"/>
      <c r="K52" s="967"/>
      <c r="L52" s="968"/>
      <c r="M52" s="969">
        <f ca="1">M53</f>
        <v>22982.400000000001</v>
      </c>
      <c r="N52" s="966">
        <f ca="1">N53</f>
        <v>0</v>
      </c>
      <c r="O52" s="970"/>
      <c r="P52" s="966">
        <f ca="1">P53</f>
        <v>0</v>
      </c>
      <c r="Q52" s="965"/>
      <c r="R52" s="850"/>
      <c r="S52" s="850"/>
      <c r="T52" s="513"/>
      <c r="U52" s="779"/>
      <c r="W52" s="985"/>
      <c r="X52" s="986"/>
      <c r="Y52" s="987"/>
      <c r="Z52" s="985"/>
    </row>
    <row r="53" spans="1:26" s="90" customFormat="1" ht="15" customHeight="1" x14ac:dyDescent="0.25">
      <c r="A53" s="97"/>
      <c r="B53" s="612"/>
      <c r="C53" s="613">
        <f t="shared" ref="C53:C56" ca="1" si="38">C52+1</f>
        <v>1</v>
      </c>
      <c r="D53" s="515">
        <f>D31</f>
        <v>39675</v>
      </c>
      <c r="E53" s="953">
        <f t="shared" ref="E53:E54" ca="1" si="39">VLOOKUP(C53,__Периоды,4,0)</f>
        <v>0</v>
      </c>
      <c r="F53" s="931">
        <f ca="1">I31</f>
        <v>42560</v>
      </c>
      <c r="G53" s="904">
        <f t="shared" ref="G53:G54" ca="1" si="40">F53/$F$52 - 1</f>
        <v>0</v>
      </c>
      <c r="H53" s="953">
        <f t="shared" ref="H53:H54" ca="1" si="41">VLOOKUP(C53,__Периоды,3,0)</f>
        <v>0.54</v>
      </c>
      <c r="I53" s="931">
        <f t="shared" ref="I53:I54" ca="1" si="42">F53*H53</f>
        <v>22982.400000000001</v>
      </c>
      <c r="J53" s="904">
        <f t="shared" ref="J53:J54" ca="1" si="43">I53/$I$52 - 1</f>
        <v>0</v>
      </c>
      <c r="K53" s="955">
        <f t="shared" ref="K53:K54" ca="1" si="44">VLOOKUP(C53,__Периоды,10,0)</f>
        <v>0</v>
      </c>
      <c r="L53" s="939">
        <f t="shared" ref="L53:L55" ca="1" si="45">ROUND(I53*K53,2)</f>
        <v>0</v>
      </c>
      <c r="M53" s="940">
        <f t="shared" ref="M53" ca="1" si="46">I53*(1 + K53)</f>
        <v>22982.400000000001</v>
      </c>
      <c r="N53" s="875">
        <f t="shared" ref="N53:N54" ca="1" si="47">M53-M52</f>
        <v>0</v>
      </c>
      <c r="O53" s="921">
        <f t="shared" ref="O53:O54" ca="1" si="48">N53/M52</f>
        <v>0</v>
      </c>
      <c r="P53" s="922">
        <f t="shared" ref="P53:P54" ca="1" si="49">M53 -$M$52</f>
        <v>0</v>
      </c>
      <c r="Q53" s="915">
        <f t="shared" ref="Q53:Q54" ca="1" si="50">P53/$M$52</f>
        <v>0</v>
      </c>
      <c r="R53" s="850"/>
      <c r="S53" s="850"/>
      <c r="T53" s="513"/>
      <c r="U53" s="779"/>
      <c r="W53" s="988"/>
      <c r="X53" s="988"/>
      <c r="Y53" s="988"/>
      <c r="Z53" s="989"/>
    </row>
    <row r="54" spans="1:26" s="90" customFormat="1" ht="15" customHeight="1" x14ac:dyDescent="0.25">
      <c r="A54" s="97"/>
      <c r="B54" s="612"/>
      <c r="C54" s="613">
        <f t="shared" ca="1" si="38"/>
        <v>2</v>
      </c>
      <c r="D54" s="515">
        <f t="shared" ref="D54" ca="1" si="51">VLOOKUP(C54,__Периоды,2,0)</f>
        <v>41275</v>
      </c>
      <c r="E54" s="953">
        <f t="shared" ca="1" si="39"/>
        <v>0</v>
      </c>
      <c r="F54" s="931">
        <f ca="1">I32</f>
        <v>42560</v>
      </c>
      <c r="G54" s="904">
        <f t="shared" ca="1" si="40"/>
        <v>0</v>
      </c>
      <c r="H54" s="953">
        <f t="shared" ca="1" si="41"/>
        <v>0.56000000000000005</v>
      </c>
      <c r="I54" s="931">
        <f t="shared" ca="1" si="42"/>
        <v>23833.600000000002</v>
      </c>
      <c r="J54" s="904">
        <f t="shared" ca="1" si="43"/>
        <v>3.7037037037036979E-2</v>
      </c>
      <c r="K54" s="955">
        <f t="shared" ca="1" si="44"/>
        <v>0</v>
      </c>
      <c r="L54" s="939">
        <f t="shared" ca="1" si="45"/>
        <v>0</v>
      </c>
      <c r="M54" s="940">
        <f t="shared" ref="M54" ca="1" si="52">I54+ L54</f>
        <v>23833.600000000002</v>
      </c>
      <c r="N54" s="875">
        <f t="shared" ca="1" si="47"/>
        <v>851.20000000000073</v>
      </c>
      <c r="O54" s="921">
        <f t="shared" ca="1" si="48"/>
        <v>3.703703703703707E-2</v>
      </c>
      <c r="P54" s="922">
        <f t="shared" ca="1" si="49"/>
        <v>851.20000000000073</v>
      </c>
      <c r="Q54" s="915">
        <f t="shared" ca="1" si="50"/>
        <v>3.703703703703707E-2</v>
      </c>
      <c r="R54" s="850"/>
      <c r="S54" s="850"/>
      <c r="T54" s="513"/>
      <c r="U54" s="779"/>
      <c r="W54" s="988"/>
      <c r="X54" s="988"/>
      <c r="Y54" s="988"/>
      <c r="Z54" s="989"/>
    </row>
    <row r="55" spans="1:26" s="90" customFormat="1" ht="15" customHeight="1" x14ac:dyDescent="0.25">
      <c r="A55" s="97"/>
      <c r="B55" s="612"/>
      <c r="C55" s="613">
        <f t="shared" ca="1" si="38"/>
        <v>3</v>
      </c>
      <c r="D55" s="515">
        <f t="shared" ref="D55" ca="1" si="53">VLOOKUP(C55,__Периоды,2,0)</f>
        <v>41548</v>
      </c>
      <c r="E55" s="953">
        <f t="shared" ref="E55" ca="1" si="54">VLOOKUP(C55,__Периоды,4,0)</f>
        <v>0</v>
      </c>
      <c r="F55" s="931">
        <f ca="1">I33</f>
        <v>42560</v>
      </c>
      <c r="G55" s="904">
        <f t="shared" ref="G55" ca="1" si="55">F55/$F$52 - 1</f>
        <v>0</v>
      </c>
      <c r="H55" s="953">
        <f t="shared" ref="H55" ca="1" si="56">VLOOKUP(C55,__Периоды,3,0)</f>
        <v>0.58050000000000002</v>
      </c>
      <c r="I55" s="931">
        <f t="shared" ref="I55" ca="1" si="57">F55*H55</f>
        <v>24706.080000000002</v>
      </c>
      <c r="J55" s="904">
        <f t="shared" ref="J55" ca="1" si="58">I55/$I$52 - 1</f>
        <v>7.4999999999999956E-2</v>
      </c>
      <c r="K55" s="955">
        <f t="shared" ref="K55" ca="1" si="59">VLOOKUP(C55,__Периоды,10,0)</f>
        <v>0</v>
      </c>
      <c r="L55" s="939">
        <f t="shared" ca="1" si="45"/>
        <v>0</v>
      </c>
      <c r="M55" s="940">
        <f t="shared" ref="M55" ca="1" si="60">I55+ L55</f>
        <v>24706.080000000002</v>
      </c>
      <c r="N55" s="875">
        <f t="shared" ref="N55" ca="1" si="61">M55-M54</f>
        <v>872.47999999999956</v>
      </c>
      <c r="O55" s="921">
        <f t="shared" ref="O55" ca="1" si="62">N55/M54</f>
        <v>3.6607142857142838E-2</v>
      </c>
      <c r="P55" s="922">
        <f t="shared" ref="P55" ca="1" si="63">M55 -$M$52</f>
        <v>1723.6800000000003</v>
      </c>
      <c r="Q55" s="915">
        <f t="shared" ref="Q55" ca="1" si="64">P55/$M$52</f>
        <v>7.5000000000000011E-2</v>
      </c>
      <c r="R55" s="850"/>
      <c r="S55" s="850"/>
      <c r="T55" s="513"/>
      <c r="U55" s="779"/>
      <c r="W55" s="988"/>
      <c r="X55" s="988"/>
      <c r="Y55" s="988"/>
      <c r="Z55" s="989"/>
    </row>
    <row r="56" spans="1:26" s="90" customFormat="1" ht="15" customHeight="1" x14ac:dyDescent="0.25">
      <c r="A56" s="97"/>
      <c r="B56" s="612"/>
      <c r="C56" s="613">
        <f t="shared" ca="1" si="38"/>
        <v>4</v>
      </c>
      <c r="D56" s="515">
        <f t="shared" ref="D56" ca="1" si="65">VLOOKUP(C56,__Периоды,2,0)</f>
        <v>41640</v>
      </c>
      <c r="E56" s="953">
        <f t="shared" ref="E56" ca="1" si="66">VLOOKUP(C56,__Периоды,4,0)</f>
        <v>0</v>
      </c>
      <c r="F56" s="931">
        <f ca="1">I34</f>
        <v>42560</v>
      </c>
      <c r="G56" s="904">
        <f t="shared" ref="G56" ca="1" si="67">F56/$F$52 - 1</f>
        <v>0</v>
      </c>
      <c r="H56" s="953">
        <f t="shared" ref="H56" ca="1" si="68">VLOOKUP(C56,__Периоды,3,0)</f>
        <v>0.60050000000000003</v>
      </c>
      <c r="I56" s="931">
        <f t="shared" ref="I56" ca="1" si="69">F56*H56</f>
        <v>25557.280000000002</v>
      </c>
      <c r="J56" s="904">
        <f t="shared" ref="J56" ca="1" si="70">I56/$I$52 - 1</f>
        <v>0.11203703703703716</v>
      </c>
      <c r="K56" s="955">
        <f t="shared" ref="K56" ca="1" si="71">VLOOKUP(C56,__Периоды,10,0)</f>
        <v>0</v>
      </c>
      <c r="L56" s="939">
        <f t="shared" ref="L56" ca="1" si="72">ROUND(I56*K56,2)</f>
        <v>0</v>
      </c>
      <c r="M56" s="940">
        <f t="shared" ref="M56" ca="1" si="73">I56+ L56</f>
        <v>25557.280000000002</v>
      </c>
      <c r="N56" s="875">
        <f t="shared" ref="N56" ca="1" si="74">M56-M55</f>
        <v>851.20000000000073</v>
      </c>
      <c r="O56" s="921">
        <f t="shared" ref="O56" ca="1" si="75">N56/M55</f>
        <v>3.4453057708871693E-2</v>
      </c>
      <c r="P56" s="922">
        <f t="shared" ref="P56" ca="1" si="76">M56 -$M$52</f>
        <v>2574.880000000001</v>
      </c>
      <c r="Q56" s="915">
        <f t="shared" ref="Q56" ca="1" si="77">P56/$M$52</f>
        <v>0.11203703703703707</v>
      </c>
      <c r="R56" s="850"/>
      <c r="S56" s="850"/>
      <c r="T56" s="513"/>
      <c r="U56" s="779"/>
      <c r="W56" s="988"/>
      <c r="X56" s="988"/>
      <c r="Y56" s="988"/>
      <c r="Z56" s="989"/>
    </row>
    <row r="57" spans="1:26" s="90" customFormat="1" ht="15" customHeight="1" thickBot="1" x14ac:dyDescent="0.3">
      <c r="A57" s="97"/>
      <c r="B57" s="612"/>
      <c r="C57" s="615"/>
      <c r="D57" s="524"/>
      <c r="E57" s="954"/>
      <c r="F57" s="932"/>
      <c r="G57" s="906"/>
      <c r="H57" s="954"/>
      <c r="I57" s="932"/>
      <c r="J57" s="906"/>
      <c r="K57" s="981"/>
      <c r="L57" s="941"/>
      <c r="M57" s="942"/>
      <c r="N57" s="932"/>
      <c r="O57" s="923"/>
      <c r="P57" s="932"/>
      <c r="Q57" s="906"/>
      <c r="R57" s="850"/>
      <c r="S57" s="850"/>
      <c r="T57" s="513"/>
      <c r="U57" s="779"/>
      <c r="W57" s="990"/>
      <c r="X57" s="991"/>
      <c r="Y57" s="991"/>
      <c r="Z57" s="989"/>
    </row>
    <row r="58" spans="1:26" s="120" customFormat="1" ht="13.5" customHeight="1" thickBot="1" x14ac:dyDescent="0.3">
      <c r="A58" s="1289"/>
      <c r="B58" s="206"/>
      <c r="C58" s="207"/>
      <c r="D58" s="207"/>
      <c r="E58" s="207"/>
      <c r="F58" s="207"/>
      <c r="G58" s="207"/>
      <c r="H58" s="207"/>
      <c r="I58" s="207"/>
      <c r="J58" s="208"/>
      <c r="K58" s="207"/>
      <c r="L58" s="207"/>
      <c r="M58" s="209"/>
      <c r="N58" s="210"/>
      <c r="O58" s="207"/>
      <c r="P58" s="207"/>
      <c r="Q58" s="207"/>
      <c r="R58" s="207"/>
      <c r="S58" s="207"/>
      <c r="T58" s="211"/>
      <c r="U58" s="787"/>
    </row>
    <row r="59" spans="1:26" s="62" customFormat="1" ht="6.75" customHeight="1" x14ac:dyDescent="0.25">
      <c r="A59" s="100"/>
      <c r="C59" s="781"/>
      <c r="D59" s="781"/>
      <c r="E59" s="781"/>
      <c r="F59" s="781"/>
      <c r="G59" s="781"/>
      <c r="H59" s="781"/>
      <c r="I59" s="781"/>
      <c r="J59" s="782"/>
      <c r="K59" s="781"/>
      <c r="L59" s="781"/>
      <c r="M59" s="783"/>
      <c r="N59" s="784"/>
      <c r="O59" s="781"/>
      <c r="P59" s="781"/>
      <c r="Q59" s="781"/>
      <c r="R59" s="781"/>
      <c r="S59" s="781"/>
      <c r="T59" s="781"/>
      <c r="U59" s="785"/>
    </row>
    <row r="60" spans="1:26" s="62" customFormat="1" x14ac:dyDescent="0.25">
      <c r="A60" s="100"/>
      <c r="M60" s="70"/>
      <c r="U60" s="23"/>
    </row>
    <row r="61" spans="1:26" s="62" customFormat="1" x14ac:dyDescent="0.25">
      <c r="A61" s="100"/>
      <c r="M61" s="70"/>
      <c r="U61" s="23"/>
    </row>
    <row r="62" spans="1:26" s="62" customFormat="1" x14ac:dyDescent="0.25">
      <c r="A62" s="100"/>
      <c r="M62" s="70"/>
      <c r="U62" s="23"/>
    </row>
    <row r="63" spans="1:26" s="62" customFormat="1" x14ac:dyDescent="0.25">
      <c r="A63" s="100"/>
      <c r="M63" s="70"/>
      <c r="U63" s="23"/>
    </row>
    <row r="64" spans="1:26" s="62" customFormat="1" x14ac:dyDescent="0.25">
      <c r="A64" s="100"/>
      <c r="M64" s="70"/>
      <c r="U64" s="23"/>
    </row>
    <row r="65" spans="1:43" s="62" customFormat="1" x14ac:dyDescent="0.25">
      <c r="A65" s="100"/>
      <c r="M65" s="70"/>
      <c r="U65" s="23"/>
    </row>
    <row r="66" spans="1:43" s="62" customFormat="1" x14ac:dyDescent="0.25">
      <c r="A66" s="100"/>
      <c r="M66" s="70"/>
      <c r="U66" s="23"/>
    </row>
    <row r="67" spans="1:43" s="62" customFormat="1" x14ac:dyDescent="0.25">
      <c r="A67" s="100"/>
      <c r="M67" s="70"/>
      <c r="U67" s="23"/>
    </row>
    <row r="68" spans="1:43" s="62" customFormat="1" x14ac:dyDescent="0.25">
      <c r="A68" s="100"/>
      <c r="M68" s="70"/>
      <c r="U68" s="23"/>
    </row>
    <row r="69" spans="1:43" s="21" customFormat="1" x14ac:dyDescent="0.25">
      <c r="A69" s="100"/>
      <c r="M69" s="24"/>
      <c r="U69" s="23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</row>
    <row r="70" spans="1:43" s="21" customFormat="1" x14ac:dyDescent="0.25">
      <c r="A70" s="100"/>
      <c r="M70" s="24"/>
      <c r="U70" s="23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</row>
    <row r="71" spans="1:43" s="21" customFormat="1" x14ac:dyDescent="0.25">
      <c r="A71" s="100"/>
      <c r="M71" s="24"/>
      <c r="U71" s="23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</row>
    <row r="72" spans="1:43" s="21" customFormat="1" x14ac:dyDescent="0.25">
      <c r="A72" s="100"/>
      <c r="M72" s="24"/>
      <c r="U72" s="23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</row>
    <row r="73" spans="1:43" s="21" customFormat="1" x14ac:dyDescent="0.25">
      <c r="A73" s="100"/>
      <c r="M73" s="24"/>
      <c r="U73" s="23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</row>
    <row r="74" spans="1:43" s="21" customFormat="1" x14ac:dyDescent="0.25">
      <c r="A74" s="100"/>
      <c r="M74" s="24"/>
      <c r="U74" s="23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</row>
    <row r="75" spans="1:43" s="21" customFormat="1" x14ac:dyDescent="0.25">
      <c r="A75" s="100"/>
      <c r="M75" s="24"/>
      <c r="U75" s="23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</row>
    <row r="76" spans="1:43" s="21" customFormat="1" x14ac:dyDescent="0.25">
      <c r="A76" s="100"/>
      <c r="M76" s="24"/>
      <c r="U76" s="23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</row>
    <row r="77" spans="1:43" s="21" customFormat="1" x14ac:dyDescent="0.25">
      <c r="A77" s="100"/>
      <c r="M77" s="24"/>
      <c r="U77" s="23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</row>
    <row r="78" spans="1:43" s="21" customFormat="1" x14ac:dyDescent="0.25">
      <c r="A78" s="100"/>
      <c r="M78" s="24"/>
      <c r="U78" s="23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</row>
    <row r="79" spans="1:43" s="21" customFormat="1" x14ac:dyDescent="0.25">
      <c r="A79" s="100"/>
      <c r="M79" s="24"/>
      <c r="U79" s="23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</row>
    <row r="80" spans="1:43" s="21" customFormat="1" x14ac:dyDescent="0.25">
      <c r="A80" s="100"/>
      <c r="M80" s="24"/>
      <c r="U80" s="23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</row>
    <row r="81" spans="1:43" s="21" customFormat="1" x14ac:dyDescent="0.25">
      <c r="A81" s="100"/>
      <c r="M81" s="24"/>
      <c r="U81" s="23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</row>
    <row r="82" spans="1:43" s="21" customFormat="1" x14ac:dyDescent="0.25">
      <c r="A82" s="100"/>
      <c r="M82" s="24"/>
      <c r="U82" s="23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</row>
    <row r="83" spans="1:43" s="19" customFormat="1" x14ac:dyDescent="0.25">
      <c r="A83" s="101"/>
      <c r="M83" s="20"/>
      <c r="U83" s="214"/>
      <c r="V83" s="823"/>
      <c r="W83" s="823"/>
      <c r="X83" s="823"/>
      <c r="Y83" s="823"/>
      <c r="Z83" s="823"/>
      <c r="AA83" s="823"/>
      <c r="AB83" s="823"/>
      <c r="AC83" s="823"/>
      <c r="AD83" s="823"/>
      <c r="AE83" s="823"/>
      <c r="AF83" s="823"/>
      <c r="AG83" s="823"/>
      <c r="AH83" s="823"/>
      <c r="AI83" s="823"/>
      <c r="AJ83" s="823"/>
      <c r="AK83" s="823"/>
      <c r="AL83" s="823"/>
      <c r="AM83" s="823"/>
      <c r="AN83" s="823"/>
      <c r="AO83" s="823"/>
      <c r="AP83" s="823"/>
      <c r="AQ83" s="823"/>
    </row>
    <row r="84" spans="1:43" s="19" customFormat="1" x14ac:dyDescent="0.25">
      <c r="A84" s="101"/>
      <c r="M84" s="20"/>
      <c r="U84" s="214"/>
      <c r="V84" s="823"/>
      <c r="W84" s="823"/>
      <c r="X84" s="823"/>
      <c r="Y84" s="823"/>
      <c r="Z84" s="823"/>
      <c r="AA84" s="823"/>
      <c r="AB84" s="823"/>
      <c r="AC84" s="823"/>
      <c r="AD84" s="823"/>
      <c r="AE84" s="823"/>
      <c r="AF84" s="823"/>
      <c r="AG84" s="823"/>
      <c r="AH84" s="823"/>
      <c r="AI84" s="823"/>
      <c r="AJ84" s="823"/>
      <c r="AK84" s="823"/>
      <c r="AL84" s="823"/>
      <c r="AM84" s="823"/>
      <c r="AN84" s="823"/>
      <c r="AO84" s="823"/>
      <c r="AP84" s="823"/>
      <c r="AQ84" s="823"/>
    </row>
    <row r="85" spans="1:43" s="19" customFormat="1" x14ac:dyDescent="0.25">
      <c r="A85" s="101"/>
      <c r="M85" s="20"/>
      <c r="U85" s="214"/>
      <c r="V85" s="823"/>
      <c r="W85" s="823"/>
      <c r="X85" s="823"/>
      <c r="Y85" s="823"/>
      <c r="Z85" s="823"/>
      <c r="AA85" s="823"/>
      <c r="AB85" s="823"/>
      <c r="AC85" s="823"/>
      <c r="AD85" s="823"/>
      <c r="AE85" s="823"/>
      <c r="AF85" s="823"/>
      <c r="AG85" s="823"/>
      <c r="AH85" s="823"/>
      <c r="AI85" s="823"/>
      <c r="AJ85" s="823"/>
      <c r="AK85" s="823"/>
      <c r="AL85" s="823"/>
      <c r="AM85" s="823"/>
      <c r="AN85" s="823"/>
      <c r="AO85" s="823"/>
      <c r="AP85" s="823"/>
      <c r="AQ85" s="823"/>
    </row>
    <row r="86" spans="1:43" s="19" customFormat="1" x14ac:dyDescent="0.25">
      <c r="A86" s="101"/>
      <c r="M86" s="20"/>
      <c r="U86" s="214"/>
      <c r="V86" s="823"/>
      <c r="W86" s="823"/>
      <c r="X86" s="823"/>
      <c r="Y86" s="823"/>
      <c r="Z86" s="823"/>
      <c r="AA86" s="823"/>
      <c r="AB86" s="823"/>
      <c r="AC86" s="823"/>
      <c r="AD86" s="823"/>
      <c r="AE86" s="823"/>
      <c r="AF86" s="823"/>
      <c r="AG86" s="823"/>
      <c r="AH86" s="823"/>
      <c r="AI86" s="823"/>
      <c r="AJ86" s="823"/>
      <c r="AK86" s="823"/>
      <c r="AL86" s="823"/>
      <c r="AM86" s="823"/>
      <c r="AN86" s="823"/>
      <c r="AO86" s="823"/>
      <c r="AP86" s="823"/>
      <c r="AQ86" s="823"/>
    </row>
    <row r="87" spans="1:43" s="19" customFormat="1" x14ac:dyDescent="0.25">
      <c r="A87" s="101"/>
      <c r="M87" s="20"/>
      <c r="U87" s="214"/>
      <c r="V87" s="823"/>
      <c r="W87" s="823"/>
      <c r="X87" s="823"/>
      <c r="Y87" s="823"/>
      <c r="Z87" s="823"/>
      <c r="AA87" s="823"/>
      <c r="AB87" s="823"/>
      <c r="AC87" s="823"/>
      <c r="AD87" s="823"/>
      <c r="AE87" s="823"/>
      <c r="AF87" s="823"/>
      <c r="AG87" s="823"/>
      <c r="AH87" s="823"/>
      <c r="AI87" s="823"/>
      <c r="AJ87" s="823"/>
      <c r="AK87" s="823"/>
      <c r="AL87" s="823"/>
      <c r="AM87" s="823"/>
      <c r="AN87" s="823"/>
      <c r="AO87" s="823"/>
      <c r="AP87" s="823"/>
      <c r="AQ87" s="823"/>
    </row>
    <row r="88" spans="1:43" s="19" customFormat="1" x14ac:dyDescent="0.25">
      <c r="A88" s="101"/>
      <c r="M88" s="20"/>
      <c r="U88" s="214"/>
      <c r="V88" s="823"/>
      <c r="W88" s="823"/>
      <c r="X88" s="823"/>
      <c r="Y88" s="823"/>
      <c r="Z88" s="823"/>
      <c r="AA88" s="823"/>
      <c r="AB88" s="823"/>
      <c r="AC88" s="823"/>
      <c r="AD88" s="823"/>
      <c r="AE88" s="823"/>
      <c r="AF88" s="823"/>
      <c r="AG88" s="823"/>
      <c r="AH88" s="823"/>
      <c r="AI88" s="823"/>
      <c r="AJ88" s="823"/>
      <c r="AK88" s="823"/>
      <c r="AL88" s="823"/>
      <c r="AM88" s="823"/>
      <c r="AN88" s="823"/>
      <c r="AO88" s="823"/>
      <c r="AP88" s="823"/>
      <c r="AQ88" s="823"/>
    </row>
    <row r="89" spans="1:43" s="19" customFormat="1" x14ac:dyDescent="0.25">
      <c r="A89" s="101"/>
      <c r="M89" s="20"/>
      <c r="U89" s="214"/>
      <c r="V89" s="823"/>
      <c r="W89" s="823"/>
      <c r="X89" s="823"/>
      <c r="Y89" s="823"/>
      <c r="Z89" s="823"/>
      <c r="AA89" s="823"/>
      <c r="AB89" s="823"/>
      <c r="AC89" s="823"/>
      <c r="AD89" s="823"/>
      <c r="AE89" s="823"/>
      <c r="AF89" s="823"/>
      <c r="AG89" s="823"/>
      <c r="AH89" s="823"/>
      <c r="AI89" s="823"/>
      <c r="AJ89" s="823"/>
      <c r="AK89" s="823"/>
      <c r="AL89" s="823"/>
      <c r="AM89" s="823"/>
      <c r="AN89" s="823"/>
      <c r="AO89" s="823"/>
      <c r="AP89" s="823"/>
      <c r="AQ89" s="823"/>
    </row>
    <row r="90" spans="1:43" s="19" customFormat="1" x14ac:dyDescent="0.25">
      <c r="A90" s="101"/>
      <c r="M90" s="20"/>
      <c r="U90" s="214"/>
      <c r="V90" s="823"/>
      <c r="W90" s="823"/>
      <c r="X90" s="823"/>
      <c r="Y90" s="823"/>
      <c r="Z90" s="823"/>
      <c r="AA90" s="823"/>
      <c r="AB90" s="823"/>
      <c r="AC90" s="823"/>
      <c r="AD90" s="823"/>
      <c r="AE90" s="823"/>
      <c r="AF90" s="823"/>
      <c r="AG90" s="823"/>
      <c r="AH90" s="823"/>
      <c r="AI90" s="823"/>
      <c r="AJ90" s="823"/>
      <c r="AK90" s="823"/>
      <c r="AL90" s="823"/>
      <c r="AM90" s="823"/>
      <c r="AN90" s="823"/>
      <c r="AO90" s="823"/>
      <c r="AP90" s="823"/>
      <c r="AQ90" s="823"/>
    </row>
    <row r="91" spans="1:43" s="19" customFormat="1" x14ac:dyDescent="0.25">
      <c r="A91" s="101"/>
      <c r="M91" s="20"/>
      <c r="U91" s="214"/>
      <c r="V91" s="823"/>
      <c r="W91" s="823"/>
      <c r="X91" s="823"/>
      <c r="Y91" s="823"/>
      <c r="Z91" s="823"/>
      <c r="AA91" s="823"/>
      <c r="AB91" s="823"/>
      <c r="AC91" s="823"/>
      <c r="AD91" s="823"/>
      <c r="AE91" s="823"/>
      <c r="AF91" s="823"/>
      <c r="AG91" s="823"/>
      <c r="AH91" s="823"/>
      <c r="AI91" s="823"/>
      <c r="AJ91" s="823"/>
      <c r="AK91" s="823"/>
      <c r="AL91" s="823"/>
      <c r="AM91" s="823"/>
      <c r="AN91" s="823"/>
      <c r="AO91" s="823"/>
      <c r="AP91" s="823"/>
      <c r="AQ91" s="823"/>
    </row>
    <row r="92" spans="1:43" s="19" customFormat="1" x14ac:dyDescent="0.25">
      <c r="A92" s="101"/>
      <c r="M92" s="20"/>
      <c r="U92" s="214"/>
      <c r="V92" s="823"/>
      <c r="W92" s="823"/>
      <c r="X92" s="823"/>
      <c r="Y92" s="823"/>
      <c r="Z92" s="823"/>
      <c r="AA92" s="823"/>
      <c r="AB92" s="823"/>
      <c r="AC92" s="823"/>
      <c r="AD92" s="823"/>
      <c r="AE92" s="823"/>
      <c r="AF92" s="823"/>
      <c r="AG92" s="823"/>
      <c r="AH92" s="823"/>
      <c r="AI92" s="823"/>
      <c r="AJ92" s="823"/>
      <c r="AK92" s="823"/>
      <c r="AL92" s="823"/>
      <c r="AM92" s="823"/>
      <c r="AN92" s="823"/>
      <c r="AO92" s="823"/>
      <c r="AP92" s="823"/>
      <c r="AQ92" s="823"/>
    </row>
    <row r="93" spans="1:43" s="19" customFormat="1" x14ac:dyDescent="0.25">
      <c r="A93" s="101"/>
      <c r="M93" s="20"/>
      <c r="U93" s="214"/>
      <c r="V93" s="823"/>
      <c r="W93" s="823"/>
      <c r="X93" s="823"/>
      <c r="Y93" s="823"/>
      <c r="Z93" s="823"/>
      <c r="AA93" s="823"/>
      <c r="AB93" s="823"/>
      <c r="AC93" s="823"/>
      <c r="AD93" s="823"/>
      <c r="AE93" s="823"/>
      <c r="AF93" s="823"/>
      <c r="AG93" s="823"/>
      <c r="AH93" s="823"/>
      <c r="AI93" s="823"/>
      <c r="AJ93" s="823"/>
      <c r="AK93" s="823"/>
      <c r="AL93" s="823"/>
      <c r="AM93" s="823"/>
      <c r="AN93" s="823"/>
      <c r="AO93" s="823"/>
      <c r="AP93" s="823"/>
      <c r="AQ93" s="823"/>
    </row>
    <row r="94" spans="1:43" s="19" customFormat="1" x14ac:dyDescent="0.25">
      <c r="A94" s="101"/>
      <c r="M94" s="20"/>
      <c r="U94" s="214"/>
      <c r="V94" s="823"/>
      <c r="W94" s="823"/>
      <c r="X94" s="823"/>
      <c r="Y94" s="823"/>
      <c r="Z94" s="823"/>
      <c r="AA94" s="823"/>
      <c r="AB94" s="823"/>
      <c r="AC94" s="823"/>
      <c r="AD94" s="823"/>
      <c r="AE94" s="823"/>
      <c r="AF94" s="823"/>
      <c r="AG94" s="823"/>
      <c r="AH94" s="823"/>
      <c r="AI94" s="823"/>
      <c r="AJ94" s="823"/>
      <c r="AK94" s="823"/>
      <c r="AL94" s="823"/>
      <c r="AM94" s="823"/>
      <c r="AN94" s="823"/>
      <c r="AO94" s="823"/>
      <c r="AP94" s="823"/>
      <c r="AQ94" s="823"/>
    </row>
    <row r="95" spans="1:43" s="19" customFormat="1" x14ac:dyDescent="0.25">
      <c r="A95" s="101"/>
      <c r="M95" s="20"/>
      <c r="U95" s="214"/>
      <c r="V95" s="823"/>
      <c r="W95" s="823"/>
      <c r="X95" s="823"/>
      <c r="Y95" s="823"/>
      <c r="Z95" s="823"/>
      <c r="AA95" s="823"/>
      <c r="AB95" s="823"/>
      <c r="AC95" s="823"/>
      <c r="AD95" s="823"/>
      <c r="AE95" s="823"/>
      <c r="AF95" s="823"/>
      <c r="AG95" s="823"/>
      <c r="AH95" s="823"/>
      <c r="AI95" s="823"/>
      <c r="AJ95" s="823"/>
      <c r="AK95" s="823"/>
      <c r="AL95" s="823"/>
      <c r="AM95" s="823"/>
      <c r="AN95" s="823"/>
      <c r="AO95" s="823"/>
      <c r="AP95" s="823"/>
      <c r="AQ95" s="823"/>
    </row>
    <row r="96" spans="1:43" s="19" customFormat="1" x14ac:dyDescent="0.25">
      <c r="A96" s="101"/>
      <c r="M96" s="20"/>
      <c r="U96" s="214"/>
      <c r="V96" s="823"/>
      <c r="W96" s="823"/>
      <c r="X96" s="823"/>
      <c r="Y96" s="823"/>
      <c r="Z96" s="823"/>
      <c r="AA96" s="823"/>
      <c r="AB96" s="823"/>
      <c r="AC96" s="823"/>
      <c r="AD96" s="823"/>
      <c r="AE96" s="823"/>
      <c r="AF96" s="823"/>
      <c r="AG96" s="823"/>
      <c r="AH96" s="823"/>
      <c r="AI96" s="823"/>
      <c r="AJ96" s="823"/>
      <c r="AK96" s="823"/>
      <c r="AL96" s="823"/>
      <c r="AM96" s="823"/>
      <c r="AN96" s="823"/>
      <c r="AO96" s="823"/>
      <c r="AP96" s="823"/>
      <c r="AQ96" s="823"/>
    </row>
    <row r="97" spans="1:43" s="19" customFormat="1" x14ac:dyDescent="0.25">
      <c r="A97" s="101"/>
      <c r="M97" s="20"/>
      <c r="U97" s="214"/>
      <c r="V97" s="823"/>
      <c r="W97" s="823"/>
      <c r="X97" s="823"/>
      <c r="Y97" s="823"/>
      <c r="Z97" s="823"/>
      <c r="AA97" s="823"/>
      <c r="AB97" s="823"/>
      <c r="AC97" s="823"/>
      <c r="AD97" s="823"/>
      <c r="AE97" s="823"/>
      <c r="AF97" s="823"/>
      <c r="AG97" s="823"/>
      <c r="AH97" s="823"/>
      <c r="AI97" s="823"/>
      <c r="AJ97" s="823"/>
      <c r="AK97" s="823"/>
      <c r="AL97" s="823"/>
      <c r="AM97" s="823"/>
      <c r="AN97" s="823"/>
      <c r="AO97" s="823"/>
      <c r="AP97" s="823"/>
      <c r="AQ97" s="823"/>
    </row>
    <row r="98" spans="1:43" s="19" customFormat="1" x14ac:dyDescent="0.25">
      <c r="A98" s="101"/>
      <c r="M98" s="20"/>
      <c r="U98" s="214"/>
      <c r="V98" s="823"/>
      <c r="W98" s="823"/>
      <c r="X98" s="823"/>
      <c r="Y98" s="823"/>
      <c r="Z98" s="823"/>
      <c r="AA98" s="823"/>
      <c r="AB98" s="823"/>
      <c r="AC98" s="823"/>
      <c r="AD98" s="823"/>
      <c r="AE98" s="823"/>
      <c r="AF98" s="823"/>
      <c r="AG98" s="823"/>
      <c r="AH98" s="823"/>
      <c r="AI98" s="823"/>
      <c r="AJ98" s="823"/>
      <c r="AK98" s="823"/>
      <c r="AL98" s="823"/>
      <c r="AM98" s="823"/>
      <c r="AN98" s="823"/>
      <c r="AO98" s="823"/>
      <c r="AP98" s="823"/>
      <c r="AQ98" s="823"/>
    </row>
    <row r="99" spans="1:43" s="19" customFormat="1" x14ac:dyDescent="0.25">
      <c r="A99" s="101"/>
      <c r="M99" s="20"/>
      <c r="U99" s="214"/>
      <c r="V99" s="823"/>
      <c r="W99" s="823"/>
      <c r="X99" s="823"/>
      <c r="Y99" s="823"/>
      <c r="Z99" s="823"/>
      <c r="AA99" s="823"/>
      <c r="AB99" s="823"/>
      <c r="AC99" s="823"/>
      <c r="AD99" s="823"/>
      <c r="AE99" s="823"/>
      <c r="AF99" s="823"/>
      <c r="AG99" s="823"/>
      <c r="AH99" s="823"/>
      <c r="AI99" s="823"/>
      <c r="AJ99" s="823"/>
      <c r="AK99" s="823"/>
      <c r="AL99" s="823"/>
      <c r="AM99" s="823"/>
      <c r="AN99" s="823"/>
      <c r="AO99" s="823"/>
      <c r="AP99" s="823"/>
      <c r="AQ99" s="823"/>
    </row>
    <row r="100" spans="1:43" s="19" customFormat="1" x14ac:dyDescent="0.25">
      <c r="A100" s="101"/>
      <c r="M100" s="20"/>
      <c r="U100" s="214"/>
      <c r="V100" s="823"/>
      <c r="W100" s="823"/>
      <c r="X100" s="823"/>
      <c r="Y100" s="823"/>
      <c r="Z100" s="823"/>
      <c r="AA100" s="823"/>
      <c r="AB100" s="823"/>
      <c r="AC100" s="823"/>
      <c r="AD100" s="823"/>
      <c r="AE100" s="823"/>
      <c r="AF100" s="823"/>
      <c r="AG100" s="823"/>
      <c r="AH100" s="823"/>
      <c r="AI100" s="823"/>
      <c r="AJ100" s="823"/>
      <c r="AK100" s="823"/>
      <c r="AL100" s="823"/>
      <c r="AM100" s="823"/>
      <c r="AN100" s="823"/>
      <c r="AO100" s="823"/>
      <c r="AP100" s="823"/>
      <c r="AQ100" s="823"/>
    </row>
    <row r="101" spans="1:43" s="19" customFormat="1" x14ac:dyDescent="0.25">
      <c r="A101" s="101"/>
      <c r="M101" s="20"/>
      <c r="U101" s="214"/>
      <c r="V101" s="823"/>
      <c r="W101" s="823"/>
      <c r="X101" s="823"/>
      <c r="Y101" s="823"/>
      <c r="Z101" s="823"/>
      <c r="AA101" s="823"/>
      <c r="AB101" s="823"/>
      <c r="AC101" s="823"/>
      <c r="AD101" s="823"/>
      <c r="AE101" s="823"/>
      <c r="AF101" s="823"/>
      <c r="AG101" s="823"/>
      <c r="AH101" s="823"/>
      <c r="AI101" s="823"/>
      <c r="AJ101" s="823"/>
      <c r="AK101" s="823"/>
      <c r="AL101" s="823"/>
      <c r="AM101" s="823"/>
      <c r="AN101" s="823"/>
      <c r="AO101" s="823"/>
      <c r="AP101" s="823"/>
      <c r="AQ101" s="823"/>
    </row>
    <row r="102" spans="1:43" s="19" customFormat="1" x14ac:dyDescent="0.25">
      <c r="A102" s="101"/>
      <c r="M102" s="20"/>
      <c r="U102" s="214"/>
      <c r="V102" s="823"/>
      <c r="W102" s="823"/>
      <c r="X102" s="823"/>
      <c r="Y102" s="823"/>
      <c r="Z102" s="823"/>
      <c r="AA102" s="823"/>
      <c r="AB102" s="823"/>
      <c r="AC102" s="823"/>
      <c r="AD102" s="823"/>
      <c r="AE102" s="823"/>
      <c r="AF102" s="823"/>
      <c r="AG102" s="823"/>
      <c r="AH102" s="823"/>
      <c r="AI102" s="823"/>
      <c r="AJ102" s="823"/>
      <c r="AK102" s="823"/>
      <c r="AL102" s="823"/>
      <c r="AM102" s="823"/>
      <c r="AN102" s="823"/>
      <c r="AO102" s="823"/>
      <c r="AP102" s="823"/>
      <c r="AQ102" s="823"/>
    </row>
    <row r="103" spans="1:43" s="19" customFormat="1" x14ac:dyDescent="0.25">
      <c r="A103" s="101"/>
      <c r="M103" s="20"/>
      <c r="U103" s="214"/>
      <c r="V103" s="823"/>
      <c r="W103" s="823"/>
      <c r="X103" s="823"/>
      <c r="Y103" s="823"/>
      <c r="Z103" s="823"/>
      <c r="AA103" s="823"/>
      <c r="AB103" s="823"/>
      <c r="AC103" s="823"/>
      <c r="AD103" s="823"/>
      <c r="AE103" s="823"/>
      <c r="AF103" s="823"/>
      <c r="AG103" s="823"/>
      <c r="AH103" s="823"/>
      <c r="AI103" s="823"/>
      <c r="AJ103" s="823"/>
      <c r="AK103" s="823"/>
      <c r="AL103" s="823"/>
      <c r="AM103" s="823"/>
      <c r="AN103" s="823"/>
      <c r="AO103" s="823"/>
      <c r="AP103" s="823"/>
      <c r="AQ103" s="823"/>
    </row>
    <row r="104" spans="1:43" s="19" customFormat="1" x14ac:dyDescent="0.25">
      <c r="A104" s="101"/>
      <c r="M104" s="20"/>
      <c r="U104" s="214"/>
      <c r="V104" s="823"/>
      <c r="W104" s="823"/>
      <c r="X104" s="823"/>
      <c r="Y104" s="823"/>
      <c r="Z104" s="823"/>
      <c r="AA104" s="823"/>
      <c r="AB104" s="823"/>
      <c r="AC104" s="823"/>
      <c r="AD104" s="823"/>
      <c r="AE104" s="823"/>
      <c r="AF104" s="823"/>
      <c r="AG104" s="823"/>
      <c r="AH104" s="823"/>
      <c r="AI104" s="823"/>
      <c r="AJ104" s="823"/>
      <c r="AK104" s="823"/>
      <c r="AL104" s="823"/>
      <c r="AM104" s="823"/>
      <c r="AN104" s="823"/>
      <c r="AO104" s="823"/>
      <c r="AP104" s="823"/>
      <c r="AQ104" s="823"/>
    </row>
    <row r="105" spans="1:43" s="19" customFormat="1" x14ac:dyDescent="0.25">
      <c r="A105" s="101"/>
      <c r="M105" s="20"/>
      <c r="U105" s="214"/>
      <c r="V105" s="823"/>
      <c r="W105" s="823"/>
      <c r="X105" s="823"/>
      <c r="Y105" s="823"/>
      <c r="Z105" s="823"/>
      <c r="AA105" s="823"/>
      <c r="AB105" s="823"/>
      <c r="AC105" s="823"/>
      <c r="AD105" s="823"/>
      <c r="AE105" s="823"/>
      <c r="AF105" s="823"/>
      <c r="AG105" s="823"/>
      <c r="AH105" s="823"/>
      <c r="AI105" s="823"/>
      <c r="AJ105" s="823"/>
      <c r="AK105" s="823"/>
      <c r="AL105" s="823"/>
      <c r="AM105" s="823"/>
      <c r="AN105" s="823"/>
      <c r="AO105" s="823"/>
      <c r="AP105" s="823"/>
      <c r="AQ105" s="823"/>
    </row>
    <row r="106" spans="1:43" s="19" customFormat="1" x14ac:dyDescent="0.25">
      <c r="A106" s="101"/>
      <c r="M106" s="20"/>
      <c r="U106" s="214"/>
      <c r="V106" s="823"/>
      <c r="W106" s="823"/>
      <c r="X106" s="823"/>
      <c r="Y106" s="823"/>
      <c r="Z106" s="823"/>
      <c r="AA106" s="823"/>
      <c r="AB106" s="823"/>
      <c r="AC106" s="823"/>
      <c r="AD106" s="823"/>
      <c r="AE106" s="823"/>
      <c r="AF106" s="823"/>
      <c r="AG106" s="823"/>
      <c r="AH106" s="823"/>
      <c r="AI106" s="823"/>
      <c r="AJ106" s="823"/>
      <c r="AK106" s="823"/>
      <c r="AL106" s="823"/>
      <c r="AM106" s="823"/>
      <c r="AN106" s="823"/>
      <c r="AO106" s="823"/>
      <c r="AP106" s="823"/>
      <c r="AQ106" s="823"/>
    </row>
    <row r="107" spans="1:43" s="19" customFormat="1" x14ac:dyDescent="0.25">
      <c r="A107" s="101"/>
      <c r="M107" s="20"/>
      <c r="U107" s="214"/>
      <c r="V107" s="823"/>
      <c r="W107" s="823"/>
      <c r="X107" s="823"/>
      <c r="Y107" s="823"/>
      <c r="Z107" s="823"/>
      <c r="AA107" s="823"/>
      <c r="AB107" s="823"/>
      <c r="AC107" s="823"/>
      <c r="AD107" s="823"/>
      <c r="AE107" s="823"/>
      <c r="AF107" s="823"/>
      <c r="AG107" s="823"/>
      <c r="AH107" s="823"/>
      <c r="AI107" s="823"/>
      <c r="AJ107" s="823"/>
      <c r="AK107" s="823"/>
      <c r="AL107" s="823"/>
      <c r="AM107" s="823"/>
      <c r="AN107" s="823"/>
      <c r="AO107" s="823"/>
      <c r="AP107" s="823"/>
      <c r="AQ107" s="823"/>
    </row>
    <row r="108" spans="1:43" s="19" customFormat="1" x14ac:dyDescent="0.25">
      <c r="A108" s="101"/>
      <c r="M108" s="20"/>
      <c r="U108" s="214"/>
      <c r="V108" s="823"/>
      <c r="W108" s="823"/>
      <c r="X108" s="823"/>
      <c r="Y108" s="823"/>
      <c r="Z108" s="823"/>
      <c r="AA108" s="823"/>
      <c r="AB108" s="823"/>
      <c r="AC108" s="823"/>
      <c r="AD108" s="823"/>
      <c r="AE108" s="823"/>
      <c r="AF108" s="823"/>
      <c r="AG108" s="823"/>
      <c r="AH108" s="823"/>
      <c r="AI108" s="823"/>
      <c r="AJ108" s="823"/>
      <c r="AK108" s="823"/>
      <c r="AL108" s="823"/>
      <c r="AM108" s="823"/>
      <c r="AN108" s="823"/>
      <c r="AO108" s="823"/>
      <c r="AP108" s="823"/>
      <c r="AQ108" s="823"/>
    </row>
    <row r="109" spans="1:43" s="19" customFormat="1" x14ac:dyDescent="0.25">
      <c r="A109" s="101"/>
      <c r="M109" s="20"/>
      <c r="U109" s="214"/>
      <c r="V109" s="823"/>
      <c r="W109" s="823"/>
      <c r="X109" s="823"/>
      <c r="Y109" s="823"/>
      <c r="Z109" s="823"/>
      <c r="AA109" s="823"/>
      <c r="AB109" s="823"/>
      <c r="AC109" s="823"/>
      <c r="AD109" s="823"/>
      <c r="AE109" s="823"/>
      <c r="AF109" s="823"/>
      <c r="AG109" s="823"/>
      <c r="AH109" s="823"/>
      <c r="AI109" s="823"/>
      <c r="AJ109" s="823"/>
      <c r="AK109" s="823"/>
      <c r="AL109" s="823"/>
      <c r="AM109" s="823"/>
      <c r="AN109" s="823"/>
      <c r="AO109" s="823"/>
      <c r="AP109" s="823"/>
      <c r="AQ109" s="823"/>
    </row>
    <row r="110" spans="1:43" s="19" customFormat="1" x14ac:dyDescent="0.25">
      <c r="A110" s="101"/>
      <c r="M110" s="20"/>
      <c r="U110" s="214"/>
      <c r="V110" s="823"/>
      <c r="W110" s="823"/>
      <c r="X110" s="823"/>
      <c r="Y110" s="823"/>
      <c r="Z110" s="823"/>
      <c r="AA110" s="823"/>
      <c r="AB110" s="823"/>
      <c r="AC110" s="823"/>
      <c r="AD110" s="823"/>
      <c r="AE110" s="823"/>
      <c r="AF110" s="823"/>
      <c r="AG110" s="823"/>
      <c r="AH110" s="823"/>
      <c r="AI110" s="823"/>
      <c r="AJ110" s="823"/>
      <c r="AK110" s="823"/>
      <c r="AL110" s="823"/>
      <c r="AM110" s="823"/>
      <c r="AN110" s="823"/>
      <c r="AO110" s="823"/>
      <c r="AP110" s="823"/>
      <c r="AQ110" s="823"/>
    </row>
    <row r="111" spans="1:43" s="19" customFormat="1" x14ac:dyDescent="0.25">
      <c r="A111" s="101"/>
      <c r="M111" s="20"/>
      <c r="U111" s="214"/>
      <c r="V111" s="823"/>
      <c r="W111" s="823"/>
      <c r="X111" s="823"/>
      <c r="Y111" s="823"/>
      <c r="Z111" s="823"/>
      <c r="AA111" s="823"/>
      <c r="AB111" s="823"/>
      <c r="AC111" s="823"/>
      <c r="AD111" s="823"/>
      <c r="AE111" s="823"/>
      <c r="AF111" s="823"/>
      <c r="AG111" s="823"/>
      <c r="AH111" s="823"/>
      <c r="AI111" s="823"/>
      <c r="AJ111" s="823"/>
      <c r="AK111" s="823"/>
      <c r="AL111" s="823"/>
      <c r="AM111" s="823"/>
      <c r="AN111" s="823"/>
      <c r="AO111" s="823"/>
      <c r="AP111" s="823"/>
      <c r="AQ111" s="823"/>
    </row>
    <row r="112" spans="1:43" s="19" customFormat="1" x14ac:dyDescent="0.25">
      <c r="A112" s="101"/>
      <c r="M112" s="20"/>
      <c r="U112" s="214"/>
      <c r="V112" s="823"/>
      <c r="W112" s="823"/>
      <c r="X112" s="823"/>
      <c r="Y112" s="823"/>
      <c r="Z112" s="823"/>
      <c r="AA112" s="823"/>
      <c r="AB112" s="823"/>
      <c r="AC112" s="823"/>
      <c r="AD112" s="823"/>
      <c r="AE112" s="823"/>
      <c r="AF112" s="823"/>
      <c r="AG112" s="823"/>
      <c r="AH112" s="823"/>
      <c r="AI112" s="823"/>
      <c r="AJ112" s="823"/>
      <c r="AK112" s="823"/>
      <c r="AL112" s="823"/>
      <c r="AM112" s="823"/>
      <c r="AN112" s="823"/>
      <c r="AO112" s="823"/>
      <c r="AP112" s="823"/>
      <c r="AQ112" s="823"/>
    </row>
    <row r="113" spans="1:43" s="19" customFormat="1" x14ac:dyDescent="0.25">
      <c r="A113" s="101"/>
      <c r="M113" s="20"/>
      <c r="U113" s="214"/>
      <c r="V113" s="823"/>
      <c r="W113" s="823"/>
      <c r="X113" s="823"/>
      <c r="Y113" s="823"/>
      <c r="Z113" s="823"/>
      <c r="AA113" s="823"/>
      <c r="AB113" s="823"/>
      <c r="AC113" s="823"/>
      <c r="AD113" s="823"/>
      <c r="AE113" s="823"/>
      <c r="AF113" s="823"/>
      <c r="AG113" s="823"/>
      <c r="AH113" s="823"/>
      <c r="AI113" s="823"/>
      <c r="AJ113" s="823"/>
      <c r="AK113" s="823"/>
      <c r="AL113" s="823"/>
      <c r="AM113" s="823"/>
      <c r="AN113" s="823"/>
      <c r="AO113" s="823"/>
      <c r="AP113" s="823"/>
      <c r="AQ113" s="823"/>
    </row>
    <row r="114" spans="1:43" s="19" customFormat="1" x14ac:dyDescent="0.25">
      <c r="A114" s="101"/>
      <c r="M114" s="20"/>
      <c r="U114" s="214"/>
      <c r="V114" s="823"/>
      <c r="W114" s="823"/>
      <c r="X114" s="823"/>
      <c r="Y114" s="823"/>
      <c r="Z114" s="823"/>
      <c r="AA114" s="823"/>
      <c r="AB114" s="823"/>
      <c r="AC114" s="823"/>
      <c r="AD114" s="823"/>
      <c r="AE114" s="823"/>
      <c r="AF114" s="823"/>
      <c r="AG114" s="823"/>
      <c r="AH114" s="823"/>
      <c r="AI114" s="823"/>
      <c r="AJ114" s="823"/>
      <c r="AK114" s="823"/>
      <c r="AL114" s="823"/>
      <c r="AM114" s="823"/>
      <c r="AN114" s="823"/>
      <c r="AO114" s="823"/>
      <c r="AP114" s="823"/>
      <c r="AQ114" s="823"/>
    </row>
    <row r="115" spans="1:43" s="19" customFormat="1" x14ac:dyDescent="0.25">
      <c r="A115" s="101"/>
      <c r="M115" s="20"/>
      <c r="U115" s="214"/>
      <c r="V115" s="823"/>
      <c r="W115" s="823"/>
      <c r="X115" s="823"/>
      <c r="Y115" s="823"/>
      <c r="Z115" s="823"/>
      <c r="AA115" s="823"/>
      <c r="AB115" s="823"/>
      <c r="AC115" s="823"/>
      <c r="AD115" s="823"/>
      <c r="AE115" s="823"/>
      <c r="AF115" s="823"/>
      <c r="AG115" s="823"/>
      <c r="AH115" s="823"/>
      <c r="AI115" s="823"/>
      <c r="AJ115" s="823"/>
      <c r="AK115" s="823"/>
      <c r="AL115" s="823"/>
      <c r="AM115" s="823"/>
      <c r="AN115" s="823"/>
      <c r="AO115" s="823"/>
      <c r="AP115" s="823"/>
      <c r="AQ115" s="823"/>
    </row>
    <row r="116" spans="1:43" s="19" customFormat="1" x14ac:dyDescent="0.25">
      <c r="A116" s="101"/>
      <c r="M116" s="20"/>
      <c r="U116" s="214"/>
      <c r="V116" s="823"/>
      <c r="W116" s="823"/>
      <c r="X116" s="823"/>
      <c r="Y116" s="823"/>
      <c r="Z116" s="823"/>
      <c r="AA116" s="823"/>
      <c r="AB116" s="823"/>
      <c r="AC116" s="823"/>
      <c r="AD116" s="823"/>
      <c r="AE116" s="823"/>
      <c r="AF116" s="823"/>
      <c r="AG116" s="823"/>
      <c r="AH116" s="823"/>
      <c r="AI116" s="823"/>
      <c r="AJ116" s="823"/>
      <c r="AK116" s="823"/>
      <c r="AL116" s="823"/>
      <c r="AM116" s="823"/>
      <c r="AN116" s="823"/>
      <c r="AO116" s="823"/>
      <c r="AP116" s="823"/>
      <c r="AQ116" s="823"/>
    </row>
    <row r="117" spans="1:43" s="19" customFormat="1" x14ac:dyDescent="0.25">
      <c r="A117" s="101"/>
      <c r="M117" s="20"/>
      <c r="U117" s="214"/>
      <c r="V117" s="823"/>
      <c r="W117" s="823"/>
      <c r="X117" s="823"/>
      <c r="Y117" s="823"/>
      <c r="Z117" s="823"/>
      <c r="AA117" s="823"/>
      <c r="AB117" s="823"/>
      <c r="AC117" s="823"/>
      <c r="AD117" s="823"/>
      <c r="AE117" s="823"/>
      <c r="AF117" s="823"/>
      <c r="AG117" s="823"/>
      <c r="AH117" s="823"/>
      <c r="AI117" s="823"/>
      <c r="AJ117" s="823"/>
      <c r="AK117" s="823"/>
      <c r="AL117" s="823"/>
      <c r="AM117" s="823"/>
      <c r="AN117" s="823"/>
      <c r="AO117" s="823"/>
      <c r="AP117" s="823"/>
      <c r="AQ117" s="823"/>
    </row>
    <row r="118" spans="1:43" s="19" customFormat="1" x14ac:dyDescent="0.25">
      <c r="A118" s="101"/>
      <c r="M118" s="20"/>
      <c r="U118" s="214"/>
      <c r="V118" s="823"/>
      <c r="W118" s="823"/>
      <c r="X118" s="823"/>
      <c r="Y118" s="823"/>
      <c r="Z118" s="823"/>
      <c r="AA118" s="823"/>
      <c r="AB118" s="823"/>
      <c r="AC118" s="823"/>
      <c r="AD118" s="823"/>
      <c r="AE118" s="823"/>
      <c r="AF118" s="823"/>
      <c r="AG118" s="823"/>
      <c r="AH118" s="823"/>
      <c r="AI118" s="823"/>
      <c r="AJ118" s="823"/>
      <c r="AK118" s="823"/>
      <c r="AL118" s="823"/>
      <c r="AM118" s="823"/>
      <c r="AN118" s="823"/>
      <c r="AO118" s="823"/>
      <c r="AP118" s="823"/>
      <c r="AQ118" s="823"/>
    </row>
    <row r="119" spans="1:43" s="19" customFormat="1" x14ac:dyDescent="0.25">
      <c r="A119" s="101"/>
      <c r="M119" s="20"/>
      <c r="U119" s="214"/>
      <c r="V119" s="823"/>
      <c r="W119" s="823"/>
      <c r="X119" s="823"/>
      <c r="Y119" s="823"/>
      <c r="Z119" s="823"/>
      <c r="AA119" s="823"/>
      <c r="AB119" s="823"/>
      <c r="AC119" s="823"/>
      <c r="AD119" s="823"/>
      <c r="AE119" s="823"/>
      <c r="AF119" s="823"/>
      <c r="AG119" s="823"/>
      <c r="AH119" s="823"/>
      <c r="AI119" s="823"/>
      <c r="AJ119" s="823"/>
      <c r="AK119" s="823"/>
      <c r="AL119" s="823"/>
      <c r="AM119" s="823"/>
      <c r="AN119" s="823"/>
      <c r="AO119" s="823"/>
      <c r="AP119" s="823"/>
      <c r="AQ119" s="823"/>
    </row>
    <row r="120" spans="1:43" s="19" customFormat="1" x14ac:dyDescent="0.25">
      <c r="A120" s="101"/>
      <c r="M120" s="20"/>
      <c r="U120" s="214"/>
      <c r="V120" s="823"/>
      <c r="W120" s="823"/>
      <c r="X120" s="823"/>
      <c r="Y120" s="823"/>
      <c r="Z120" s="823"/>
      <c r="AA120" s="823"/>
      <c r="AB120" s="823"/>
      <c r="AC120" s="823"/>
      <c r="AD120" s="823"/>
      <c r="AE120" s="823"/>
      <c r="AF120" s="823"/>
      <c r="AG120" s="823"/>
      <c r="AH120" s="823"/>
      <c r="AI120" s="823"/>
      <c r="AJ120" s="823"/>
      <c r="AK120" s="823"/>
      <c r="AL120" s="823"/>
      <c r="AM120" s="823"/>
      <c r="AN120" s="823"/>
      <c r="AO120" s="823"/>
      <c r="AP120" s="823"/>
      <c r="AQ120" s="823"/>
    </row>
    <row r="121" spans="1:43" s="19" customFormat="1" x14ac:dyDescent="0.25">
      <c r="A121" s="101"/>
      <c r="M121" s="20"/>
      <c r="U121" s="214"/>
      <c r="V121" s="823"/>
      <c r="W121" s="823"/>
      <c r="X121" s="823"/>
      <c r="Y121" s="823"/>
      <c r="Z121" s="823"/>
      <c r="AA121" s="823"/>
      <c r="AB121" s="823"/>
      <c r="AC121" s="823"/>
      <c r="AD121" s="823"/>
      <c r="AE121" s="823"/>
      <c r="AF121" s="823"/>
      <c r="AG121" s="823"/>
      <c r="AH121" s="823"/>
      <c r="AI121" s="823"/>
      <c r="AJ121" s="823"/>
      <c r="AK121" s="823"/>
      <c r="AL121" s="823"/>
      <c r="AM121" s="823"/>
      <c r="AN121" s="823"/>
      <c r="AO121" s="823"/>
      <c r="AP121" s="823"/>
      <c r="AQ121" s="823"/>
    </row>
    <row r="122" spans="1:43" s="19" customFormat="1" x14ac:dyDescent="0.25">
      <c r="A122" s="101"/>
      <c r="M122" s="20"/>
      <c r="U122" s="214"/>
      <c r="V122" s="823"/>
      <c r="W122" s="823"/>
      <c r="X122" s="823"/>
      <c r="Y122" s="823"/>
      <c r="Z122" s="823"/>
      <c r="AA122" s="823"/>
      <c r="AB122" s="823"/>
      <c r="AC122" s="823"/>
      <c r="AD122" s="823"/>
      <c r="AE122" s="823"/>
      <c r="AF122" s="823"/>
      <c r="AG122" s="823"/>
      <c r="AH122" s="823"/>
      <c r="AI122" s="823"/>
      <c r="AJ122" s="823"/>
      <c r="AK122" s="823"/>
      <c r="AL122" s="823"/>
      <c r="AM122" s="823"/>
      <c r="AN122" s="823"/>
      <c r="AO122" s="823"/>
      <c r="AP122" s="823"/>
      <c r="AQ122" s="823"/>
    </row>
    <row r="123" spans="1:43" s="19" customFormat="1" x14ac:dyDescent="0.25">
      <c r="A123" s="101"/>
      <c r="M123" s="20"/>
      <c r="U123" s="214"/>
      <c r="V123" s="823"/>
      <c r="W123" s="823"/>
      <c r="X123" s="823"/>
      <c r="Y123" s="823"/>
      <c r="Z123" s="823"/>
      <c r="AA123" s="823"/>
      <c r="AB123" s="823"/>
      <c r="AC123" s="823"/>
      <c r="AD123" s="823"/>
      <c r="AE123" s="823"/>
      <c r="AF123" s="823"/>
      <c r="AG123" s="823"/>
      <c r="AH123" s="823"/>
      <c r="AI123" s="823"/>
      <c r="AJ123" s="823"/>
      <c r="AK123" s="823"/>
      <c r="AL123" s="823"/>
      <c r="AM123" s="823"/>
      <c r="AN123" s="823"/>
      <c r="AO123" s="823"/>
      <c r="AP123" s="823"/>
      <c r="AQ123" s="823"/>
    </row>
    <row r="124" spans="1:43" s="19" customFormat="1" x14ac:dyDescent="0.25">
      <c r="A124" s="101"/>
      <c r="M124" s="20"/>
      <c r="U124" s="214"/>
      <c r="V124" s="823"/>
      <c r="W124" s="823"/>
      <c r="X124" s="823"/>
      <c r="Y124" s="823"/>
      <c r="Z124" s="823"/>
      <c r="AA124" s="823"/>
      <c r="AB124" s="823"/>
      <c r="AC124" s="823"/>
      <c r="AD124" s="823"/>
      <c r="AE124" s="823"/>
      <c r="AF124" s="823"/>
      <c r="AG124" s="823"/>
      <c r="AH124" s="823"/>
      <c r="AI124" s="823"/>
      <c r="AJ124" s="823"/>
      <c r="AK124" s="823"/>
      <c r="AL124" s="823"/>
      <c r="AM124" s="823"/>
      <c r="AN124" s="823"/>
      <c r="AO124" s="823"/>
      <c r="AP124" s="823"/>
      <c r="AQ124" s="823"/>
    </row>
    <row r="125" spans="1:43" s="19" customFormat="1" x14ac:dyDescent="0.25">
      <c r="A125" s="101"/>
      <c r="M125" s="20"/>
      <c r="U125" s="214"/>
      <c r="V125" s="823"/>
      <c r="W125" s="823"/>
      <c r="X125" s="823"/>
      <c r="Y125" s="823"/>
      <c r="Z125" s="823"/>
      <c r="AA125" s="823"/>
      <c r="AB125" s="823"/>
      <c r="AC125" s="823"/>
      <c r="AD125" s="823"/>
      <c r="AE125" s="823"/>
      <c r="AF125" s="823"/>
      <c r="AG125" s="823"/>
      <c r="AH125" s="823"/>
      <c r="AI125" s="823"/>
      <c r="AJ125" s="823"/>
      <c r="AK125" s="823"/>
      <c r="AL125" s="823"/>
      <c r="AM125" s="823"/>
      <c r="AN125" s="823"/>
      <c r="AO125" s="823"/>
      <c r="AP125" s="823"/>
      <c r="AQ125" s="823"/>
    </row>
    <row r="126" spans="1:43" s="19" customFormat="1" x14ac:dyDescent="0.25">
      <c r="A126" s="101"/>
      <c r="M126" s="20"/>
      <c r="U126" s="214"/>
      <c r="V126" s="823"/>
      <c r="W126" s="823"/>
      <c r="X126" s="823"/>
      <c r="Y126" s="823"/>
      <c r="Z126" s="823"/>
      <c r="AA126" s="823"/>
      <c r="AB126" s="823"/>
      <c r="AC126" s="823"/>
      <c r="AD126" s="823"/>
      <c r="AE126" s="823"/>
      <c r="AF126" s="823"/>
      <c r="AG126" s="823"/>
      <c r="AH126" s="823"/>
      <c r="AI126" s="823"/>
      <c r="AJ126" s="823"/>
      <c r="AK126" s="823"/>
      <c r="AL126" s="823"/>
      <c r="AM126" s="823"/>
      <c r="AN126" s="823"/>
      <c r="AO126" s="823"/>
      <c r="AP126" s="823"/>
      <c r="AQ126" s="823"/>
    </row>
    <row r="127" spans="1:43" s="19" customFormat="1" x14ac:dyDescent="0.25">
      <c r="A127" s="101"/>
      <c r="M127" s="20"/>
      <c r="U127" s="214"/>
      <c r="V127" s="823"/>
      <c r="W127" s="823"/>
      <c r="X127" s="823"/>
      <c r="Y127" s="823"/>
      <c r="Z127" s="823"/>
      <c r="AA127" s="823"/>
      <c r="AB127" s="823"/>
      <c r="AC127" s="823"/>
      <c r="AD127" s="823"/>
      <c r="AE127" s="823"/>
      <c r="AF127" s="823"/>
      <c r="AG127" s="823"/>
      <c r="AH127" s="823"/>
      <c r="AI127" s="823"/>
      <c r="AJ127" s="823"/>
      <c r="AK127" s="823"/>
      <c r="AL127" s="823"/>
      <c r="AM127" s="823"/>
      <c r="AN127" s="823"/>
      <c r="AO127" s="823"/>
      <c r="AP127" s="823"/>
      <c r="AQ127" s="823"/>
    </row>
    <row r="128" spans="1:43" s="19" customFormat="1" x14ac:dyDescent="0.25">
      <c r="A128" s="101"/>
      <c r="M128" s="20"/>
      <c r="U128" s="214"/>
      <c r="V128" s="823"/>
      <c r="W128" s="823"/>
      <c r="X128" s="823"/>
      <c r="Y128" s="823"/>
      <c r="Z128" s="823"/>
      <c r="AA128" s="823"/>
      <c r="AB128" s="823"/>
      <c r="AC128" s="823"/>
      <c r="AD128" s="823"/>
      <c r="AE128" s="823"/>
      <c r="AF128" s="823"/>
      <c r="AG128" s="823"/>
      <c r="AH128" s="823"/>
      <c r="AI128" s="823"/>
      <c r="AJ128" s="823"/>
      <c r="AK128" s="823"/>
      <c r="AL128" s="823"/>
      <c r="AM128" s="823"/>
      <c r="AN128" s="823"/>
      <c r="AO128" s="823"/>
      <c r="AP128" s="823"/>
      <c r="AQ128" s="823"/>
    </row>
    <row r="129" spans="1:43" s="19" customFormat="1" x14ac:dyDescent="0.25">
      <c r="A129" s="101"/>
      <c r="M129" s="20"/>
      <c r="U129" s="214"/>
      <c r="V129" s="823"/>
      <c r="W129" s="823"/>
      <c r="X129" s="823"/>
      <c r="Y129" s="823"/>
      <c r="Z129" s="823"/>
      <c r="AA129" s="823"/>
      <c r="AB129" s="823"/>
      <c r="AC129" s="823"/>
      <c r="AD129" s="823"/>
      <c r="AE129" s="823"/>
      <c r="AF129" s="823"/>
      <c r="AG129" s="823"/>
      <c r="AH129" s="823"/>
      <c r="AI129" s="823"/>
      <c r="AJ129" s="823"/>
      <c r="AK129" s="823"/>
      <c r="AL129" s="823"/>
      <c r="AM129" s="823"/>
      <c r="AN129" s="823"/>
      <c r="AO129" s="823"/>
      <c r="AP129" s="823"/>
      <c r="AQ129" s="823"/>
    </row>
    <row r="130" spans="1:43" s="19" customFormat="1" x14ac:dyDescent="0.25">
      <c r="A130" s="101"/>
      <c r="M130" s="20"/>
      <c r="U130" s="214"/>
      <c r="V130" s="823"/>
      <c r="W130" s="823"/>
      <c r="X130" s="823"/>
      <c r="Y130" s="823"/>
      <c r="Z130" s="823"/>
      <c r="AA130" s="823"/>
      <c r="AB130" s="823"/>
      <c r="AC130" s="823"/>
      <c r="AD130" s="823"/>
      <c r="AE130" s="823"/>
      <c r="AF130" s="823"/>
      <c r="AG130" s="823"/>
      <c r="AH130" s="823"/>
      <c r="AI130" s="823"/>
      <c r="AJ130" s="823"/>
      <c r="AK130" s="823"/>
      <c r="AL130" s="823"/>
      <c r="AM130" s="823"/>
      <c r="AN130" s="823"/>
      <c r="AO130" s="823"/>
      <c r="AP130" s="823"/>
      <c r="AQ130" s="823"/>
    </row>
    <row r="131" spans="1:43" s="19" customFormat="1" x14ac:dyDescent="0.25">
      <c r="A131" s="101"/>
      <c r="M131" s="20"/>
      <c r="U131" s="214"/>
      <c r="V131" s="823"/>
      <c r="W131" s="823"/>
      <c r="X131" s="823"/>
      <c r="Y131" s="823"/>
      <c r="Z131" s="823"/>
      <c r="AA131" s="823"/>
      <c r="AB131" s="823"/>
      <c r="AC131" s="823"/>
      <c r="AD131" s="823"/>
      <c r="AE131" s="823"/>
      <c r="AF131" s="823"/>
      <c r="AG131" s="823"/>
      <c r="AH131" s="823"/>
      <c r="AI131" s="823"/>
      <c r="AJ131" s="823"/>
      <c r="AK131" s="823"/>
      <c r="AL131" s="823"/>
      <c r="AM131" s="823"/>
      <c r="AN131" s="823"/>
      <c r="AO131" s="823"/>
      <c r="AP131" s="823"/>
      <c r="AQ131" s="823"/>
    </row>
    <row r="132" spans="1:43" s="19" customFormat="1" x14ac:dyDescent="0.25">
      <c r="A132" s="101"/>
      <c r="M132" s="20"/>
      <c r="U132" s="214"/>
      <c r="V132" s="823"/>
      <c r="W132" s="823"/>
      <c r="X132" s="823"/>
      <c r="Y132" s="823"/>
      <c r="Z132" s="823"/>
      <c r="AA132" s="823"/>
      <c r="AB132" s="823"/>
      <c r="AC132" s="823"/>
      <c r="AD132" s="823"/>
      <c r="AE132" s="823"/>
      <c r="AF132" s="823"/>
      <c r="AG132" s="823"/>
      <c r="AH132" s="823"/>
      <c r="AI132" s="823"/>
      <c r="AJ132" s="823"/>
      <c r="AK132" s="823"/>
      <c r="AL132" s="823"/>
      <c r="AM132" s="823"/>
      <c r="AN132" s="823"/>
      <c r="AO132" s="823"/>
      <c r="AP132" s="823"/>
      <c r="AQ132" s="823"/>
    </row>
    <row r="133" spans="1:43" s="19" customFormat="1" x14ac:dyDescent="0.25">
      <c r="A133" s="101"/>
      <c r="M133" s="20"/>
      <c r="U133" s="214"/>
      <c r="V133" s="823"/>
      <c r="W133" s="823"/>
      <c r="X133" s="823"/>
      <c r="Y133" s="823"/>
      <c r="Z133" s="823"/>
      <c r="AA133" s="823"/>
      <c r="AB133" s="823"/>
      <c r="AC133" s="823"/>
      <c r="AD133" s="823"/>
      <c r="AE133" s="823"/>
      <c r="AF133" s="823"/>
      <c r="AG133" s="823"/>
      <c r="AH133" s="823"/>
      <c r="AI133" s="823"/>
      <c r="AJ133" s="823"/>
      <c r="AK133" s="823"/>
      <c r="AL133" s="823"/>
      <c r="AM133" s="823"/>
      <c r="AN133" s="823"/>
      <c r="AO133" s="823"/>
      <c r="AP133" s="823"/>
      <c r="AQ133" s="823"/>
    </row>
    <row r="134" spans="1:43" s="19" customFormat="1" x14ac:dyDescent="0.25">
      <c r="A134" s="101"/>
      <c r="M134" s="20"/>
      <c r="U134" s="214"/>
      <c r="V134" s="823"/>
      <c r="W134" s="823"/>
      <c r="X134" s="823"/>
      <c r="Y134" s="823"/>
      <c r="Z134" s="823"/>
      <c r="AA134" s="823"/>
      <c r="AB134" s="823"/>
      <c r="AC134" s="823"/>
      <c r="AD134" s="823"/>
      <c r="AE134" s="823"/>
      <c r="AF134" s="823"/>
      <c r="AG134" s="823"/>
      <c r="AH134" s="823"/>
      <c r="AI134" s="823"/>
      <c r="AJ134" s="823"/>
      <c r="AK134" s="823"/>
      <c r="AL134" s="823"/>
      <c r="AM134" s="823"/>
      <c r="AN134" s="823"/>
      <c r="AO134" s="823"/>
      <c r="AP134" s="823"/>
      <c r="AQ134" s="823"/>
    </row>
    <row r="135" spans="1:43" s="19" customFormat="1" x14ac:dyDescent="0.25">
      <c r="A135" s="101"/>
      <c r="M135" s="20"/>
      <c r="U135" s="214"/>
      <c r="V135" s="823"/>
      <c r="W135" s="823"/>
      <c r="X135" s="823"/>
      <c r="Y135" s="823"/>
      <c r="Z135" s="823"/>
      <c r="AA135" s="823"/>
      <c r="AB135" s="823"/>
      <c r="AC135" s="823"/>
      <c r="AD135" s="823"/>
      <c r="AE135" s="823"/>
      <c r="AF135" s="823"/>
      <c r="AG135" s="823"/>
      <c r="AH135" s="823"/>
      <c r="AI135" s="823"/>
      <c r="AJ135" s="823"/>
      <c r="AK135" s="823"/>
      <c r="AL135" s="823"/>
      <c r="AM135" s="823"/>
      <c r="AN135" s="823"/>
      <c r="AO135" s="823"/>
      <c r="AP135" s="823"/>
      <c r="AQ135" s="823"/>
    </row>
    <row r="136" spans="1:43" s="19" customFormat="1" x14ac:dyDescent="0.25">
      <c r="A136" s="101"/>
      <c r="M136" s="20"/>
      <c r="U136" s="214"/>
      <c r="V136" s="823"/>
      <c r="W136" s="823"/>
      <c r="X136" s="823"/>
      <c r="Y136" s="823"/>
      <c r="Z136" s="823"/>
      <c r="AA136" s="823"/>
      <c r="AB136" s="823"/>
      <c r="AC136" s="823"/>
      <c r="AD136" s="823"/>
      <c r="AE136" s="823"/>
      <c r="AF136" s="823"/>
      <c r="AG136" s="823"/>
      <c r="AH136" s="823"/>
      <c r="AI136" s="823"/>
      <c r="AJ136" s="823"/>
      <c r="AK136" s="823"/>
      <c r="AL136" s="823"/>
      <c r="AM136" s="823"/>
      <c r="AN136" s="823"/>
      <c r="AO136" s="823"/>
      <c r="AP136" s="823"/>
      <c r="AQ136" s="823"/>
    </row>
    <row r="137" spans="1:43" s="19" customFormat="1" x14ac:dyDescent="0.25">
      <c r="A137" s="101"/>
      <c r="M137" s="20"/>
      <c r="U137" s="214"/>
      <c r="V137" s="823"/>
      <c r="W137" s="823"/>
      <c r="X137" s="823"/>
      <c r="Y137" s="823"/>
      <c r="Z137" s="823"/>
      <c r="AA137" s="823"/>
      <c r="AB137" s="823"/>
      <c r="AC137" s="823"/>
      <c r="AD137" s="823"/>
      <c r="AE137" s="823"/>
      <c r="AF137" s="823"/>
      <c r="AG137" s="823"/>
      <c r="AH137" s="823"/>
      <c r="AI137" s="823"/>
      <c r="AJ137" s="823"/>
      <c r="AK137" s="823"/>
      <c r="AL137" s="823"/>
      <c r="AM137" s="823"/>
      <c r="AN137" s="823"/>
      <c r="AO137" s="823"/>
      <c r="AP137" s="823"/>
      <c r="AQ137" s="823"/>
    </row>
    <row r="138" spans="1:43" s="19" customFormat="1" x14ac:dyDescent="0.25">
      <c r="A138" s="101"/>
      <c r="M138" s="20"/>
      <c r="U138" s="214"/>
      <c r="V138" s="823"/>
      <c r="W138" s="823"/>
      <c r="X138" s="823"/>
      <c r="Y138" s="823"/>
      <c r="Z138" s="823"/>
      <c r="AA138" s="823"/>
      <c r="AB138" s="823"/>
      <c r="AC138" s="823"/>
      <c r="AD138" s="823"/>
      <c r="AE138" s="823"/>
      <c r="AF138" s="823"/>
      <c r="AG138" s="823"/>
      <c r="AH138" s="823"/>
      <c r="AI138" s="823"/>
      <c r="AJ138" s="823"/>
      <c r="AK138" s="823"/>
      <c r="AL138" s="823"/>
      <c r="AM138" s="823"/>
      <c r="AN138" s="823"/>
      <c r="AO138" s="823"/>
      <c r="AP138" s="823"/>
      <c r="AQ138" s="823"/>
    </row>
    <row r="139" spans="1:43" s="19" customFormat="1" x14ac:dyDescent="0.25">
      <c r="A139" s="101"/>
      <c r="M139" s="20"/>
      <c r="U139" s="214"/>
      <c r="V139" s="823"/>
      <c r="W139" s="823"/>
      <c r="X139" s="823"/>
      <c r="Y139" s="823"/>
      <c r="Z139" s="823"/>
      <c r="AA139" s="823"/>
      <c r="AB139" s="823"/>
      <c r="AC139" s="823"/>
      <c r="AD139" s="823"/>
      <c r="AE139" s="823"/>
      <c r="AF139" s="823"/>
      <c r="AG139" s="823"/>
      <c r="AH139" s="823"/>
      <c r="AI139" s="823"/>
      <c r="AJ139" s="823"/>
      <c r="AK139" s="823"/>
      <c r="AL139" s="823"/>
      <c r="AM139" s="823"/>
      <c r="AN139" s="823"/>
      <c r="AO139" s="823"/>
      <c r="AP139" s="823"/>
      <c r="AQ139" s="823"/>
    </row>
    <row r="140" spans="1:43" s="19" customFormat="1" x14ac:dyDescent="0.25">
      <c r="A140" s="101"/>
      <c r="M140" s="20"/>
      <c r="U140" s="214"/>
      <c r="V140" s="823"/>
      <c r="W140" s="823"/>
      <c r="X140" s="823"/>
      <c r="Y140" s="823"/>
      <c r="Z140" s="823"/>
      <c r="AA140" s="823"/>
      <c r="AB140" s="823"/>
      <c r="AC140" s="823"/>
      <c r="AD140" s="823"/>
      <c r="AE140" s="823"/>
      <c r="AF140" s="823"/>
      <c r="AG140" s="823"/>
      <c r="AH140" s="823"/>
      <c r="AI140" s="823"/>
      <c r="AJ140" s="823"/>
      <c r="AK140" s="823"/>
      <c r="AL140" s="823"/>
      <c r="AM140" s="823"/>
      <c r="AN140" s="823"/>
      <c r="AO140" s="823"/>
      <c r="AP140" s="823"/>
      <c r="AQ140" s="823"/>
    </row>
    <row r="141" spans="1:43" s="19" customFormat="1" x14ac:dyDescent="0.25">
      <c r="A141" s="101"/>
      <c r="M141" s="20"/>
      <c r="U141" s="214"/>
      <c r="V141" s="823"/>
      <c r="W141" s="823"/>
      <c r="X141" s="823"/>
      <c r="Y141" s="823"/>
      <c r="Z141" s="823"/>
      <c r="AA141" s="823"/>
      <c r="AB141" s="823"/>
      <c r="AC141" s="823"/>
      <c r="AD141" s="823"/>
      <c r="AE141" s="823"/>
      <c r="AF141" s="823"/>
      <c r="AG141" s="823"/>
      <c r="AH141" s="823"/>
      <c r="AI141" s="823"/>
      <c r="AJ141" s="823"/>
      <c r="AK141" s="823"/>
      <c r="AL141" s="823"/>
      <c r="AM141" s="823"/>
      <c r="AN141" s="823"/>
      <c r="AO141" s="823"/>
      <c r="AP141" s="823"/>
      <c r="AQ141" s="823"/>
    </row>
    <row r="142" spans="1:43" s="19" customFormat="1" x14ac:dyDescent="0.25">
      <c r="A142" s="101"/>
      <c r="M142" s="20"/>
      <c r="U142" s="214"/>
      <c r="V142" s="823"/>
      <c r="W142" s="823"/>
      <c r="X142" s="823"/>
      <c r="Y142" s="823"/>
      <c r="Z142" s="823"/>
      <c r="AA142" s="823"/>
      <c r="AB142" s="823"/>
      <c r="AC142" s="823"/>
      <c r="AD142" s="823"/>
      <c r="AE142" s="823"/>
      <c r="AF142" s="823"/>
      <c r="AG142" s="823"/>
      <c r="AH142" s="823"/>
      <c r="AI142" s="823"/>
      <c r="AJ142" s="823"/>
      <c r="AK142" s="823"/>
      <c r="AL142" s="823"/>
      <c r="AM142" s="823"/>
      <c r="AN142" s="823"/>
      <c r="AO142" s="823"/>
      <c r="AP142" s="823"/>
      <c r="AQ142" s="823"/>
    </row>
    <row r="143" spans="1:43" s="19" customFormat="1" x14ac:dyDescent="0.25">
      <c r="A143" s="101"/>
      <c r="M143" s="20"/>
      <c r="U143" s="214"/>
      <c r="V143" s="823"/>
      <c r="W143" s="823"/>
      <c r="X143" s="823"/>
      <c r="Y143" s="823"/>
      <c r="Z143" s="823"/>
      <c r="AA143" s="823"/>
      <c r="AB143" s="823"/>
      <c r="AC143" s="823"/>
      <c r="AD143" s="823"/>
      <c r="AE143" s="823"/>
      <c r="AF143" s="823"/>
      <c r="AG143" s="823"/>
      <c r="AH143" s="823"/>
      <c r="AI143" s="823"/>
      <c r="AJ143" s="823"/>
      <c r="AK143" s="823"/>
      <c r="AL143" s="823"/>
      <c r="AM143" s="823"/>
      <c r="AN143" s="823"/>
      <c r="AO143" s="823"/>
      <c r="AP143" s="823"/>
      <c r="AQ143" s="823"/>
    </row>
    <row r="144" spans="1:43" s="19" customFormat="1" x14ac:dyDescent="0.25">
      <c r="A144" s="101"/>
      <c r="M144" s="20"/>
      <c r="U144" s="214"/>
      <c r="V144" s="823"/>
      <c r="W144" s="823"/>
      <c r="X144" s="823"/>
      <c r="Y144" s="823"/>
      <c r="Z144" s="823"/>
      <c r="AA144" s="823"/>
      <c r="AB144" s="823"/>
      <c r="AC144" s="823"/>
      <c r="AD144" s="823"/>
      <c r="AE144" s="823"/>
      <c r="AF144" s="823"/>
      <c r="AG144" s="823"/>
      <c r="AH144" s="823"/>
      <c r="AI144" s="823"/>
      <c r="AJ144" s="823"/>
      <c r="AK144" s="823"/>
      <c r="AL144" s="823"/>
      <c r="AM144" s="823"/>
      <c r="AN144" s="823"/>
      <c r="AO144" s="823"/>
      <c r="AP144" s="823"/>
      <c r="AQ144" s="823"/>
    </row>
    <row r="145" spans="1:43" s="19" customFormat="1" x14ac:dyDescent="0.25">
      <c r="A145" s="101"/>
      <c r="M145" s="20"/>
      <c r="U145" s="214"/>
      <c r="V145" s="823"/>
      <c r="W145" s="823"/>
      <c r="X145" s="823"/>
      <c r="Y145" s="823"/>
      <c r="Z145" s="823"/>
      <c r="AA145" s="823"/>
      <c r="AB145" s="823"/>
      <c r="AC145" s="823"/>
      <c r="AD145" s="823"/>
      <c r="AE145" s="823"/>
      <c r="AF145" s="823"/>
      <c r="AG145" s="823"/>
      <c r="AH145" s="823"/>
      <c r="AI145" s="823"/>
      <c r="AJ145" s="823"/>
      <c r="AK145" s="823"/>
      <c r="AL145" s="823"/>
      <c r="AM145" s="823"/>
      <c r="AN145" s="823"/>
      <c r="AO145" s="823"/>
      <c r="AP145" s="823"/>
      <c r="AQ145" s="823"/>
    </row>
    <row r="146" spans="1:43" s="19" customFormat="1" x14ac:dyDescent="0.25">
      <c r="A146" s="101"/>
      <c r="M146" s="20"/>
      <c r="U146" s="214"/>
      <c r="V146" s="823"/>
      <c r="W146" s="823"/>
      <c r="X146" s="823"/>
      <c r="Y146" s="823"/>
      <c r="Z146" s="823"/>
      <c r="AA146" s="823"/>
      <c r="AB146" s="823"/>
      <c r="AC146" s="823"/>
      <c r="AD146" s="823"/>
      <c r="AE146" s="823"/>
      <c r="AF146" s="823"/>
      <c r="AG146" s="823"/>
      <c r="AH146" s="823"/>
      <c r="AI146" s="823"/>
      <c r="AJ146" s="823"/>
      <c r="AK146" s="823"/>
      <c r="AL146" s="823"/>
      <c r="AM146" s="823"/>
      <c r="AN146" s="823"/>
      <c r="AO146" s="823"/>
      <c r="AP146" s="823"/>
      <c r="AQ146" s="823"/>
    </row>
    <row r="147" spans="1:43" s="19" customFormat="1" x14ac:dyDescent="0.25">
      <c r="A147" s="101"/>
      <c r="M147" s="20"/>
      <c r="U147" s="214"/>
      <c r="V147" s="823"/>
      <c r="W147" s="823"/>
      <c r="X147" s="823"/>
      <c r="Y147" s="823"/>
      <c r="Z147" s="823"/>
      <c r="AA147" s="823"/>
      <c r="AB147" s="823"/>
      <c r="AC147" s="823"/>
      <c r="AD147" s="823"/>
      <c r="AE147" s="823"/>
      <c r="AF147" s="823"/>
      <c r="AG147" s="823"/>
      <c r="AH147" s="823"/>
      <c r="AI147" s="823"/>
      <c r="AJ147" s="823"/>
      <c r="AK147" s="823"/>
      <c r="AL147" s="823"/>
      <c r="AM147" s="823"/>
      <c r="AN147" s="823"/>
      <c r="AO147" s="823"/>
      <c r="AP147" s="823"/>
      <c r="AQ147" s="823"/>
    </row>
    <row r="148" spans="1:43" s="19" customFormat="1" x14ac:dyDescent="0.25">
      <c r="A148" s="101"/>
      <c r="M148" s="20"/>
      <c r="U148" s="214"/>
      <c r="V148" s="823"/>
      <c r="W148" s="823"/>
      <c r="X148" s="823"/>
      <c r="Y148" s="823"/>
      <c r="Z148" s="823"/>
      <c r="AA148" s="823"/>
      <c r="AB148" s="823"/>
      <c r="AC148" s="823"/>
      <c r="AD148" s="823"/>
      <c r="AE148" s="823"/>
      <c r="AF148" s="823"/>
      <c r="AG148" s="823"/>
      <c r="AH148" s="823"/>
      <c r="AI148" s="823"/>
      <c r="AJ148" s="823"/>
      <c r="AK148" s="823"/>
      <c r="AL148" s="823"/>
      <c r="AM148" s="823"/>
      <c r="AN148" s="823"/>
      <c r="AO148" s="823"/>
      <c r="AP148" s="823"/>
      <c r="AQ148" s="823"/>
    </row>
    <row r="149" spans="1:43" s="19" customFormat="1" x14ac:dyDescent="0.25">
      <c r="A149" s="101"/>
      <c r="M149" s="20"/>
      <c r="U149" s="214"/>
      <c r="V149" s="823"/>
      <c r="W149" s="823"/>
      <c r="X149" s="823"/>
      <c r="Y149" s="823"/>
      <c r="Z149" s="823"/>
      <c r="AA149" s="823"/>
      <c r="AB149" s="823"/>
      <c r="AC149" s="823"/>
      <c r="AD149" s="823"/>
      <c r="AE149" s="823"/>
      <c r="AF149" s="823"/>
      <c r="AG149" s="823"/>
      <c r="AH149" s="823"/>
      <c r="AI149" s="823"/>
      <c r="AJ149" s="823"/>
      <c r="AK149" s="823"/>
      <c r="AL149" s="823"/>
      <c r="AM149" s="823"/>
      <c r="AN149" s="823"/>
      <c r="AO149" s="823"/>
      <c r="AP149" s="823"/>
      <c r="AQ149" s="823"/>
    </row>
    <row r="150" spans="1:43" s="19" customFormat="1" x14ac:dyDescent="0.25">
      <c r="A150" s="101"/>
      <c r="M150" s="20"/>
      <c r="U150" s="214"/>
      <c r="V150" s="823"/>
      <c r="W150" s="823"/>
      <c r="X150" s="823"/>
      <c r="Y150" s="823"/>
      <c r="Z150" s="823"/>
      <c r="AA150" s="823"/>
      <c r="AB150" s="823"/>
      <c r="AC150" s="823"/>
      <c r="AD150" s="823"/>
      <c r="AE150" s="823"/>
      <c r="AF150" s="823"/>
      <c r="AG150" s="823"/>
      <c r="AH150" s="823"/>
      <c r="AI150" s="823"/>
      <c r="AJ150" s="823"/>
      <c r="AK150" s="823"/>
      <c r="AL150" s="823"/>
      <c r="AM150" s="823"/>
      <c r="AN150" s="823"/>
      <c r="AO150" s="823"/>
      <c r="AP150" s="823"/>
      <c r="AQ150" s="823"/>
    </row>
    <row r="151" spans="1:43" s="19" customFormat="1" x14ac:dyDescent="0.25">
      <c r="A151" s="101"/>
      <c r="M151" s="20"/>
      <c r="U151" s="214"/>
      <c r="V151" s="823"/>
      <c r="W151" s="823"/>
      <c r="X151" s="823"/>
      <c r="Y151" s="823"/>
      <c r="Z151" s="823"/>
      <c r="AA151" s="823"/>
      <c r="AB151" s="823"/>
      <c r="AC151" s="823"/>
      <c r="AD151" s="823"/>
      <c r="AE151" s="823"/>
      <c r="AF151" s="823"/>
      <c r="AG151" s="823"/>
      <c r="AH151" s="823"/>
      <c r="AI151" s="823"/>
      <c r="AJ151" s="823"/>
      <c r="AK151" s="823"/>
      <c r="AL151" s="823"/>
      <c r="AM151" s="823"/>
      <c r="AN151" s="823"/>
      <c r="AO151" s="823"/>
      <c r="AP151" s="823"/>
      <c r="AQ151" s="823"/>
    </row>
    <row r="152" spans="1:43" s="19" customFormat="1" x14ac:dyDescent="0.25">
      <c r="A152" s="101"/>
      <c r="M152" s="20"/>
      <c r="U152" s="214"/>
      <c r="V152" s="823"/>
      <c r="W152" s="823"/>
      <c r="X152" s="823"/>
      <c r="Y152" s="823"/>
      <c r="Z152" s="823"/>
      <c r="AA152" s="823"/>
      <c r="AB152" s="823"/>
      <c r="AC152" s="823"/>
      <c r="AD152" s="823"/>
      <c r="AE152" s="823"/>
      <c r="AF152" s="823"/>
      <c r="AG152" s="823"/>
      <c r="AH152" s="823"/>
      <c r="AI152" s="823"/>
      <c r="AJ152" s="823"/>
      <c r="AK152" s="823"/>
      <c r="AL152" s="823"/>
      <c r="AM152" s="823"/>
      <c r="AN152" s="823"/>
      <c r="AO152" s="823"/>
      <c r="AP152" s="823"/>
      <c r="AQ152" s="823"/>
    </row>
    <row r="153" spans="1:43" s="19" customFormat="1" x14ac:dyDescent="0.25">
      <c r="A153" s="101"/>
      <c r="M153" s="20"/>
      <c r="U153" s="214"/>
      <c r="V153" s="823"/>
      <c r="W153" s="823"/>
      <c r="X153" s="823"/>
      <c r="Y153" s="823"/>
      <c r="Z153" s="823"/>
      <c r="AA153" s="823"/>
      <c r="AB153" s="823"/>
      <c r="AC153" s="823"/>
      <c r="AD153" s="823"/>
      <c r="AE153" s="823"/>
      <c r="AF153" s="823"/>
      <c r="AG153" s="823"/>
      <c r="AH153" s="823"/>
      <c r="AI153" s="823"/>
      <c r="AJ153" s="823"/>
      <c r="AK153" s="823"/>
      <c r="AL153" s="823"/>
      <c r="AM153" s="823"/>
      <c r="AN153" s="823"/>
      <c r="AO153" s="823"/>
      <c r="AP153" s="823"/>
      <c r="AQ153" s="823"/>
    </row>
    <row r="154" spans="1:43" s="19" customFormat="1" x14ac:dyDescent="0.25">
      <c r="A154" s="101"/>
      <c r="M154" s="20"/>
      <c r="U154" s="214"/>
      <c r="V154" s="823"/>
      <c r="W154" s="823"/>
      <c r="X154" s="823"/>
      <c r="Y154" s="823"/>
      <c r="Z154" s="823"/>
      <c r="AA154" s="823"/>
      <c r="AB154" s="823"/>
      <c r="AC154" s="823"/>
      <c r="AD154" s="823"/>
      <c r="AE154" s="823"/>
      <c r="AF154" s="823"/>
      <c r="AG154" s="823"/>
      <c r="AH154" s="823"/>
      <c r="AI154" s="823"/>
      <c r="AJ154" s="823"/>
      <c r="AK154" s="823"/>
      <c r="AL154" s="823"/>
      <c r="AM154" s="823"/>
      <c r="AN154" s="823"/>
      <c r="AO154" s="823"/>
      <c r="AP154" s="823"/>
      <c r="AQ154" s="823"/>
    </row>
    <row r="155" spans="1:43" s="19" customFormat="1" x14ac:dyDescent="0.25">
      <c r="A155" s="101"/>
      <c r="M155" s="20"/>
      <c r="U155" s="214"/>
      <c r="V155" s="823"/>
      <c r="W155" s="823"/>
      <c r="X155" s="823"/>
      <c r="Y155" s="823"/>
      <c r="Z155" s="823"/>
      <c r="AA155" s="823"/>
      <c r="AB155" s="823"/>
      <c r="AC155" s="823"/>
      <c r="AD155" s="823"/>
      <c r="AE155" s="823"/>
      <c r="AF155" s="823"/>
      <c r="AG155" s="823"/>
      <c r="AH155" s="823"/>
      <c r="AI155" s="823"/>
      <c r="AJ155" s="823"/>
      <c r="AK155" s="823"/>
      <c r="AL155" s="823"/>
      <c r="AM155" s="823"/>
      <c r="AN155" s="823"/>
      <c r="AO155" s="823"/>
      <c r="AP155" s="823"/>
      <c r="AQ155" s="823"/>
    </row>
    <row r="156" spans="1:43" s="19" customFormat="1" x14ac:dyDescent="0.25">
      <c r="A156" s="101"/>
      <c r="M156" s="20"/>
      <c r="U156" s="214"/>
      <c r="V156" s="823"/>
      <c r="W156" s="823"/>
      <c r="X156" s="823"/>
      <c r="Y156" s="823"/>
      <c r="Z156" s="823"/>
      <c r="AA156" s="823"/>
      <c r="AB156" s="823"/>
      <c r="AC156" s="823"/>
      <c r="AD156" s="823"/>
      <c r="AE156" s="823"/>
      <c r="AF156" s="823"/>
      <c r="AG156" s="823"/>
      <c r="AH156" s="823"/>
      <c r="AI156" s="823"/>
      <c r="AJ156" s="823"/>
      <c r="AK156" s="823"/>
      <c r="AL156" s="823"/>
      <c r="AM156" s="823"/>
      <c r="AN156" s="823"/>
      <c r="AO156" s="823"/>
      <c r="AP156" s="823"/>
      <c r="AQ156" s="823"/>
    </row>
    <row r="157" spans="1:43" s="19" customFormat="1" x14ac:dyDescent="0.25">
      <c r="A157" s="101"/>
      <c r="M157" s="20"/>
      <c r="U157" s="214"/>
      <c r="V157" s="823"/>
      <c r="W157" s="823"/>
      <c r="X157" s="823"/>
      <c r="Y157" s="823"/>
      <c r="Z157" s="823"/>
      <c r="AA157" s="823"/>
      <c r="AB157" s="823"/>
      <c r="AC157" s="823"/>
      <c r="AD157" s="823"/>
      <c r="AE157" s="823"/>
      <c r="AF157" s="823"/>
      <c r="AG157" s="823"/>
      <c r="AH157" s="823"/>
      <c r="AI157" s="823"/>
      <c r="AJ157" s="823"/>
      <c r="AK157" s="823"/>
      <c r="AL157" s="823"/>
      <c r="AM157" s="823"/>
      <c r="AN157" s="823"/>
      <c r="AO157" s="823"/>
      <c r="AP157" s="823"/>
      <c r="AQ157" s="823"/>
    </row>
    <row r="158" spans="1:43" s="19" customFormat="1" x14ac:dyDescent="0.25">
      <c r="A158" s="101"/>
      <c r="M158" s="20"/>
      <c r="U158" s="214"/>
      <c r="V158" s="823"/>
      <c r="W158" s="823"/>
      <c r="X158" s="823"/>
      <c r="Y158" s="823"/>
      <c r="Z158" s="823"/>
      <c r="AA158" s="823"/>
      <c r="AB158" s="823"/>
      <c r="AC158" s="823"/>
      <c r="AD158" s="823"/>
      <c r="AE158" s="823"/>
      <c r="AF158" s="823"/>
      <c r="AG158" s="823"/>
      <c r="AH158" s="823"/>
      <c r="AI158" s="823"/>
      <c r="AJ158" s="823"/>
      <c r="AK158" s="823"/>
      <c r="AL158" s="823"/>
      <c r="AM158" s="823"/>
      <c r="AN158" s="823"/>
      <c r="AO158" s="823"/>
      <c r="AP158" s="823"/>
      <c r="AQ158" s="823"/>
    </row>
    <row r="159" spans="1:43" s="19" customFormat="1" x14ac:dyDescent="0.25">
      <c r="A159" s="101"/>
      <c r="M159" s="20"/>
      <c r="U159" s="214"/>
      <c r="V159" s="823"/>
      <c r="W159" s="823"/>
      <c r="X159" s="823"/>
      <c r="Y159" s="823"/>
      <c r="Z159" s="823"/>
      <c r="AA159" s="823"/>
      <c r="AB159" s="823"/>
      <c r="AC159" s="823"/>
      <c r="AD159" s="823"/>
      <c r="AE159" s="823"/>
      <c r="AF159" s="823"/>
      <c r="AG159" s="823"/>
      <c r="AH159" s="823"/>
      <c r="AI159" s="823"/>
      <c r="AJ159" s="823"/>
      <c r="AK159" s="823"/>
      <c r="AL159" s="823"/>
      <c r="AM159" s="823"/>
      <c r="AN159" s="823"/>
      <c r="AO159" s="823"/>
      <c r="AP159" s="823"/>
      <c r="AQ159" s="823"/>
    </row>
    <row r="160" spans="1:43" s="19" customFormat="1" x14ac:dyDescent="0.25">
      <c r="A160" s="101"/>
      <c r="M160" s="20"/>
      <c r="U160" s="214"/>
      <c r="V160" s="823"/>
      <c r="W160" s="823"/>
      <c r="X160" s="823"/>
      <c r="Y160" s="823"/>
      <c r="Z160" s="823"/>
      <c r="AA160" s="823"/>
      <c r="AB160" s="823"/>
      <c r="AC160" s="823"/>
      <c r="AD160" s="823"/>
      <c r="AE160" s="823"/>
      <c r="AF160" s="823"/>
      <c r="AG160" s="823"/>
      <c r="AH160" s="823"/>
      <c r="AI160" s="823"/>
      <c r="AJ160" s="823"/>
      <c r="AK160" s="823"/>
      <c r="AL160" s="823"/>
      <c r="AM160" s="823"/>
      <c r="AN160" s="823"/>
      <c r="AO160" s="823"/>
      <c r="AP160" s="823"/>
      <c r="AQ160" s="823"/>
    </row>
    <row r="161" spans="1:43" s="19" customFormat="1" x14ac:dyDescent="0.25">
      <c r="A161" s="101"/>
      <c r="M161" s="20"/>
      <c r="U161" s="214"/>
      <c r="V161" s="823"/>
      <c r="W161" s="823"/>
      <c r="X161" s="823"/>
      <c r="Y161" s="823"/>
      <c r="Z161" s="823"/>
      <c r="AA161" s="823"/>
      <c r="AB161" s="823"/>
      <c r="AC161" s="823"/>
      <c r="AD161" s="823"/>
      <c r="AE161" s="823"/>
      <c r="AF161" s="823"/>
      <c r="AG161" s="823"/>
      <c r="AH161" s="823"/>
      <c r="AI161" s="823"/>
      <c r="AJ161" s="823"/>
      <c r="AK161" s="823"/>
      <c r="AL161" s="823"/>
      <c r="AM161" s="823"/>
      <c r="AN161" s="823"/>
      <c r="AO161" s="823"/>
      <c r="AP161" s="823"/>
      <c r="AQ161" s="823"/>
    </row>
    <row r="162" spans="1:43" s="19" customFormat="1" x14ac:dyDescent="0.25">
      <c r="A162" s="101"/>
      <c r="M162" s="20"/>
      <c r="U162" s="214"/>
      <c r="V162" s="823"/>
      <c r="W162" s="823"/>
      <c r="X162" s="823"/>
      <c r="Y162" s="823"/>
      <c r="Z162" s="823"/>
      <c r="AA162" s="823"/>
      <c r="AB162" s="823"/>
      <c r="AC162" s="823"/>
      <c r="AD162" s="823"/>
      <c r="AE162" s="823"/>
      <c r="AF162" s="823"/>
      <c r="AG162" s="823"/>
      <c r="AH162" s="823"/>
      <c r="AI162" s="823"/>
      <c r="AJ162" s="823"/>
      <c r="AK162" s="823"/>
      <c r="AL162" s="823"/>
      <c r="AM162" s="823"/>
      <c r="AN162" s="823"/>
      <c r="AO162" s="823"/>
      <c r="AP162" s="823"/>
      <c r="AQ162" s="823"/>
    </row>
    <row r="163" spans="1:43" s="19" customFormat="1" x14ac:dyDescent="0.25">
      <c r="A163" s="101"/>
      <c r="M163" s="20"/>
      <c r="U163" s="214"/>
      <c r="V163" s="823"/>
      <c r="W163" s="823"/>
      <c r="X163" s="823"/>
      <c r="Y163" s="823"/>
      <c r="Z163" s="823"/>
      <c r="AA163" s="823"/>
      <c r="AB163" s="823"/>
      <c r="AC163" s="823"/>
      <c r="AD163" s="823"/>
      <c r="AE163" s="823"/>
      <c r="AF163" s="823"/>
      <c r="AG163" s="823"/>
      <c r="AH163" s="823"/>
      <c r="AI163" s="823"/>
      <c r="AJ163" s="823"/>
      <c r="AK163" s="823"/>
      <c r="AL163" s="823"/>
      <c r="AM163" s="823"/>
      <c r="AN163" s="823"/>
      <c r="AO163" s="823"/>
      <c r="AP163" s="823"/>
      <c r="AQ163" s="823"/>
    </row>
    <row r="164" spans="1:43" s="19" customFormat="1" x14ac:dyDescent="0.25">
      <c r="A164" s="101"/>
      <c r="M164" s="20"/>
      <c r="U164" s="214"/>
      <c r="V164" s="823"/>
      <c r="W164" s="823"/>
      <c r="X164" s="823"/>
      <c r="Y164" s="823"/>
      <c r="Z164" s="823"/>
      <c r="AA164" s="823"/>
      <c r="AB164" s="823"/>
      <c r="AC164" s="823"/>
      <c r="AD164" s="823"/>
      <c r="AE164" s="823"/>
      <c r="AF164" s="823"/>
      <c r="AG164" s="823"/>
      <c r="AH164" s="823"/>
      <c r="AI164" s="823"/>
      <c r="AJ164" s="823"/>
      <c r="AK164" s="823"/>
      <c r="AL164" s="823"/>
      <c r="AM164" s="823"/>
      <c r="AN164" s="823"/>
      <c r="AO164" s="823"/>
      <c r="AP164" s="823"/>
      <c r="AQ164" s="823"/>
    </row>
    <row r="165" spans="1:43" s="19" customFormat="1" x14ac:dyDescent="0.25">
      <c r="A165" s="101"/>
      <c r="M165" s="20"/>
      <c r="U165" s="214"/>
      <c r="V165" s="823"/>
      <c r="W165" s="823"/>
      <c r="X165" s="823"/>
      <c r="Y165" s="823"/>
      <c r="Z165" s="823"/>
      <c r="AA165" s="823"/>
      <c r="AB165" s="823"/>
      <c r="AC165" s="823"/>
      <c r="AD165" s="823"/>
      <c r="AE165" s="823"/>
      <c r="AF165" s="823"/>
      <c r="AG165" s="823"/>
      <c r="AH165" s="823"/>
      <c r="AI165" s="823"/>
      <c r="AJ165" s="823"/>
      <c r="AK165" s="823"/>
      <c r="AL165" s="823"/>
      <c r="AM165" s="823"/>
      <c r="AN165" s="823"/>
      <c r="AO165" s="823"/>
      <c r="AP165" s="823"/>
      <c r="AQ165" s="823"/>
    </row>
    <row r="166" spans="1:43" s="19" customFormat="1" x14ac:dyDescent="0.25">
      <c r="A166" s="101"/>
      <c r="M166" s="20"/>
      <c r="U166" s="214"/>
      <c r="V166" s="823"/>
      <c r="W166" s="823"/>
      <c r="X166" s="823"/>
      <c r="Y166" s="823"/>
      <c r="Z166" s="823"/>
      <c r="AA166" s="823"/>
      <c r="AB166" s="823"/>
      <c r="AC166" s="823"/>
      <c r="AD166" s="823"/>
      <c r="AE166" s="823"/>
      <c r="AF166" s="823"/>
      <c r="AG166" s="823"/>
      <c r="AH166" s="823"/>
      <c r="AI166" s="823"/>
      <c r="AJ166" s="823"/>
      <c r="AK166" s="823"/>
      <c r="AL166" s="823"/>
      <c r="AM166" s="823"/>
      <c r="AN166" s="823"/>
      <c r="AO166" s="823"/>
      <c r="AP166" s="823"/>
      <c r="AQ166" s="823"/>
    </row>
    <row r="167" spans="1:43" s="19" customFormat="1" x14ac:dyDescent="0.25">
      <c r="A167" s="101"/>
      <c r="M167" s="20"/>
      <c r="U167" s="214"/>
      <c r="V167" s="823"/>
      <c r="W167" s="823"/>
      <c r="X167" s="823"/>
      <c r="Y167" s="823"/>
      <c r="Z167" s="823"/>
      <c r="AA167" s="823"/>
      <c r="AB167" s="823"/>
      <c r="AC167" s="823"/>
      <c r="AD167" s="823"/>
      <c r="AE167" s="823"/>
      <c r="AF167" s="823"/>
      <c r="AG167" s="823"/>
      <c r="AH167" s="823"/>
      <c r="AI167" s="823"/>
      <c r="AJ167" s="823"/>
      <c r="AK167" s="823"/>
      <c r="AL167" s="823"/>
      <c r="AM167" s="823"/>
      <c r="AN167" s="823"/>
      <c r="AO167" s="823"/>
      <c r="AP167" s="823"/>
      <c r="AQ167" s="823"/>
    </row>
    <row r="168" spans="1:43" s="19" customFormat="1" x14ac:dyDescent="0.25">
      <c r="A168" s="101"/>
      <c r="M168" s="20"/>
      <c r="U168" s="214"/>
      <c r="V168" s="823"/>
      <c r="W168" s="823"/>
      <c r="X168" s="823"/>
      <c r="Y168" s="823"/>
      <c r="Z168" s="823"/>
      <c r="AA168" s="823"/>
      <c r="AB168" s="823"/>
      <c r="AC168" s="823"/>
      <c r="AD168" s="823"/>
      <c r="AE168" s="823"/>
      <c r="AF168" s="823"/>
      <c r="AG168" s="823"/>
      <c r="AH168" s="823"/>
      <c r="AI168" s="823"/>
      <c r="AJ168" s="823"/>
      <c r="AK168" s="823"/>
      <c r="AL168" s="823"/>
      <c r="AM168" s="823"/>
      <c r="AN168" s="823"/>
      <c r="AO168" s="823"/>
      <c r="AP168" s="823"/>
      <c r="AQ168" s="823"/>
    </row>
    <row r="169" spans="1:43" s="19" customFormat="1" x14ac:dyDescent="0.25">
      <c r="A169" s="101"/>
      <c r="M169" s="20"/>
      <c r="U169" s="214"/>
      <c r="V169" s="823"/>
      <c r="W169" s="823"/>
      <c r="X169" s="823"/>
      <c r="Y169" s="823"/>
      <c r="Z169" s="823"/>
      <c r="AA169" s="823"/>
      <c r="AB169" s="823"/>
      <c r="AC169" s="823"/>
      <c r="AD169" s="823"/>
      <c r="AE169" s="823"/>
      <c r="AF169" s="823"/>
      <c r="AG169" s="823"/>
      <c r="AH169" s="823"/>
      <c r="AI169" s="823"/>
      <c r="AJ169" s="823"/>
      <c r="AK169" s="823"/>
      <c r="AL169" s="823"/>
      <c r="AM169" s="823"/>
      <c r="AN169" s="823"/>
      <c r="AO169" s="823"/>
      <c r="AP169" s="823"/>
      <c r="AQ169" s="823"/>
    </row>
    <row r="170" spans="1:43" s="19" customFormat="1" x14ac:dyDescent="0.25">
      <c r="A170" s="101"/>
      <c r="M170" s="20"/>
      <c r="U170" s="214"/>
      <c r="V170" s="823"/>
      <c r="W170" s="823"/>
      <c r="X170" s="823"/>
      <c r="Y170" s="823"/>
      <c r="Z170" s="823"/>
      <c r="AA170" s="823"/>
      <c r="AB170" s="823"/>
      <c r="AC170" s="823"/>
      <c r="AD170" s="823"/>
      <c r="AE170" s="823"/>
      <c r="AF170" s="823"/>
      <c r="AG170" s="823"/>
      <c r="AH170" s="823"/>
      <c r="AI170" s="823"/>
      <c r="AJ170" s="823"/>
      <c r="AK170" s="823"/>
      <c r="AL170" s="823"/>
      <c r="AM170" s="823"/>
      <c r="AN170" s="823"/>
      <c r="AO170" s="823"/>
      <c r="AP170" s="823"/>
      <c r="AQ170" s="823"/>
    </row>
    <row r="171" spans="1:43" s="19" customFormat="1" x14ac:dyDescent="0.25">
      <c r="A171" s="101"/>
      <c r="M171" s="20"/>
      <c r="U171" s="214"/>
      <c r="V171" s="823"/>
      <c r="W171" s="823"/>
      <c r="X171" s="823"/>
      <c r="Y171" s="823"/>
      <c r="Z171" s="823"/>
      <c r="AA171" s="823"/>
      <c r="AB171" s="823"/>
      <c r="AC171" s="823"/>
      <c r="AD171" s="823"/>
      <c r="AE171" s="823"/>
      <c r="AF171" s="823"/>
      <c r="AG171" s="823"/>
      <c r="AH171" s="823"/>
      <c r="AI171" s="823"/>
      <c r="AJ171" s="823"/>
      <c r="AK171" s="823"/>
      <c r="AL171" s="823"/>
      <c r="AM171" s="823"/>
      <c r="AN171" s="823"/>
      <c r="AO171" s="823"/>
      <c r="AP171" s="823"/>
      <c r="AQ171" s="823"/>
    </row>
    <row r="172" spans="1:43" s="19" customFormat="1" x14ac:dyDescent="0.25">
      <c r="A172" s="101"/>
      <c r="M172" s="20"/>
      <c r="U172" s="214"/>
      <c r="V172" s="823"/>
      <c r="W172" s="823"/>
      <c r="X172" s="823"/>
      <c r="Y172" s="823"/>
      <c r="Z172" s="823"/>
      <c r="AA172" s="823"/>
      <c r="AB172" s="823"/>
      <c r="AC172" s="823"/>
      <c r="AD172" s="823"/>
      <c r="AE172" s="823"/>
      <c r="AF172" s="823"/>
      <c r="AG172" s="823"/>
      <c r="AH172" s="823"/>
      <c r="AI172" s="823"/>
      <c r="AJ172" s="823"/>
      <c r="AK172" s="823"/>
      <c r="AL172" s="823"/>
      <c r="AM172" s="823"/>
      <c r="AN172" s="823"/>
      <c r="AO172" s="823"/>
      <c r="AP172" s="823"/>
      <c r="AQ172" s="823"/>
    </row>
    <row r="173" spans="1:43" s="19" customFormat="1" x14ac:dyDescent="0.25">
      <c r="A173" s="101"/>
      <c r="M173" s="20"/>
      <c r="U173" s="214"/>
      <c r="V173" s="823"/>
      <c r="W173" s="823"/>
      <c r="X173" s="823"/>
      <c r="Y173" s="823"/>
      <c r="Z173" s="823"/>
      <c r="AA173" s="823"/>
      <c r="AB173" s="823"/>
      <c r="AC173" s="823"/>
      <c r="AD173" s="823"/>
      <c r="AE173" s="823"/>
      <c r="AF173" s="823"/>
      <c r="AG173" s="823"/>
      <c r="AH173" s="823"/>
      <c r="AI173" s="823"/>
      <c r="AJ173" s="823"/>
      <c r="AK173" s="823"/>
      <c r="AL173" s="823"/>
      <c r="AM173" s="823"/>
      <c r="AN173" s="823"/>
      <c r="AO173" s="823"/>
      <c r="AP173" s="823"/>
      <c r="AQ173" s="823"/>
    </row>
    <row r="174" spans="1:43" s="19" customFormat="1" x14ac:dyDescent="0.25">
      <c r="A174" s="101"/>
      <c r="M174" s="20"/>
      <c r="U174" s="214"/>
      <c r="V174" s="823"/>
      <c r="W174" s="823"/>
      <c r="X174" s="823"/>
      <c r="Y174" s="823"/>
      <c r="Z174" s="823"/>
      <c r="AA174" s="823"/>
      <c r="AB174" s="823"/>
      <c r="AC174" s="823"/>
      <c r="AD174" s="823"/>
      <c r="AE174" s="823"/>
      <c r="AF174" s="823"/>
      <c r="AG174" s="823"/>
      <c r="AH174" s="823"/>
      <c r="AI174" s="823"/>
      <c r="AJ174" s="823"/>
      <c r="AK174" s="823"/>
      <c r="AL174" s="823"/>
      <c r="AM174" s="823"/>
      <c r="AN174" s="823"/>
      <c r="AO174" s="823"/>
      <c r="AP174" s="823"/>
      <c r="AQ174" s="823"/>
    </row>
    <row r="175" spans="1:43" s="19" customFormat="1" x14ac:dyDescent="0.25">
      <c r="A175" s="101"/>
      <c r="M175" s="20"/>
      <c r="U175" s="214"/>
      <c r="V175" s="823"/>
      <c r="W175" s="823"/>
      <c r="X175" s="823"/>
      <c r="Y175" s="823"/>
      <c r="Z175" s="823"/>
      <c r="AA175" s="823"/>
      <c r="AB175" s="823"/>
      <c r="AC175" s="823"/>
      <c r="AD175" s="823"/>
      <c r="AE175" s="823"/>
      <c r="AF175" s="823"/>
      <c r="AG175" s="823"/>
      <c r="AH175" s="823"/>
      <c r="AI175" s="823"/>
      <c r="AJ175" s="823"/>
      <c r="AK175" s="823"/>
      <c r="AL175" s="823"/>
      <c r="AM175" s="823"/>
      <c r="AN175" s="823"/>
      <c r="AO175" s="823"/>
      <c r="AP175" s="823"/>
      <c r="AQ175" s="823"/>
    </row>
    <row r="176" spans="1:43" s="19" customFormat="1" x14ac:dyDescent="0.25">
      <c r="A176" s="101"/>
      <c r="M176" s="20"/>
      <c r="U176" s="214"/>
      <c r="V176" s="823"/>
      <c r="W176" s="823"/>
      <c r="X176" s="823"/>
      <c r="Y176" s="823"/>
      <c r="Z176" s="823"/>
      <c r="AA176" s="823"/>
      <c r="AB176" s="823"/>
      <c r="AC176" s="823"/>
      <c r="AD176" s="823"/>
      <c r="AE176" s="823"/>
      <c r="AF176" s="823"/>
      <c r="AG176" s="823"/>
      <c r="AH176" s="823"/>
      <c r="AI176" s="823"/>
      <c r="AJ176" s="823"/>
      <c r="AK176" s="823"/>
      <c r="AL176" s="823"/>
      <c r="AM176" s="823"/>
      <c r="AN176" s="823"/>
      <c r="AO176" s="823"/>
      <c r="AP176" s="823"/>
      <c r="AQ176" s="823"/>
    </row>
    <row r="177" spans="1:43" s="19" customFormat="1" x14ac:dyDescent="0.25">
      <c r="A177" s="101"/>
      <c r="M177" s="20"/>
      <c r="U177" s="214"/>
      <c r="V177" s="823"/>
      <c r="W177" s="823"/>
      <c r="X177" s="823"/>
      <c r="Y177" s="823"/>
      <c r="Z177" s="823"/>
      <c r="AA177" s="823"/>
      <c r="AB177" s="823"/>
      <c r="AC177" s="823"/>
      <c r="AD177" s="823"/>
      <c r="AE177" s="823"/>
      <c r="AF177" s="823"/>
      <c r="AG177" s="823"/>
      <c r="AH177" s="823"/>
      <c r="AI177" s="823"/>
      <c r="AJ177" s="823"/>
      <c r="AK177" s="823"/>
      <c r="AL177" s="823"/>
      <c r="AM177" s="823"/>
      <c r="AN177" s="823"/>
      <c r="AO177" s="823"/>
      <c r="AP177" s="823"/>
      <c r="AQ177" s="823"/>
    </row>
    <row r="178" spans="1:43" s="19" customFormat="1" x14ac:dyDescent="0.25">
      <c r="A178" s="101"/>
      <c r="M178" s="20"/>
      <c r="U178" s="214"/>
      <c r="V178" s="823"/>
      <c r="W178" s="823"/>
      <c r="X178" s="823"/>
      <c r="Y178" s="823"/>
      <c r="Z178" s="823"/>
      <c r="AA178" s="823"/>
      <c r="AB178" s="823"/>
      <c r="AC178" s="823"/>
      <c r="AD178" s="823"/>
      <c r="AE178" s="823"/>
      <c r="AF178" s="823"/>
      <c r="AG178" s="823"/>
      <c r="AH178" s="823"/>
      <c r="AI178" s="823"/>
      <c r="AJ178" s="823"/>
      <c r="AK178" s="823"/>
      <c r="AL178" s="823"/>
      <c r="AM178" s="823"/>
      <c r="AN178" s="823"/>
      <c r="AO178" s="823"/>
      <c r="AP178" s="823"/>
      <c r="AQ178" s="823"/>
    </row>
    <row r="179" spans="1:43" s="19" customFormat="1" x14ac:dyDescent="0.25">
      <c r="A179" s="101"/>
      <c r="M179" s="20"/>
      <c r="U179" s="214"/>
      <c r="V179" s="823"/>
      <c r="W179" s="823"/>
      <c r="X179" s="823"/>
      <c r="Y179" s="823"/>
      <c r="Z179" s="823"/>
      <c r="AA179" s="823"/>
      <c r="AB179" s="823"/>
      <c r="AC179" s="823"/>
      <c r="AD179" s="823"/>
      <c r="AE179" s="823"/>
      <c r="AF179" s="823"/>
      <c r="AG179" s="823"/>
      <c r="AH179" s="823"/>
      <c r="AI179" s="823"/>
      <c r="AJ179" s="823"/>
      <c r="AK179" s="823"/>
      <c r="AL179" s="823"/>
      <c r="AM179" s="823"/>
      <c r="AN179" s="823"/>
      <c r="AO179" s="823"/>
      <c r="AP179" s="823"/>
      <c r="AQ179" s="823"/>
    </row>
    <row r="180" spans="1:43" s="19" customFormat="1" x14ac:dyDescent="0.25">
      <c r="A180" s="101"/>
      <c r="M180" s="20"/>
      <c r="U180" s="214"/>
      <c r="V180" s="823"/>
      <c r="W180" s="823"/>
      <c r="X180" s="823"/>
      <c r="Y180" s="823"/>
      <c r="Z180" s="823"/>
      <c r="AA180" s="823"/>
      <c r="AB180" s="823"/>
      <c r="AC180" s="823"/>
      <c r="AD180" s="823"/>
      <c r="AE180" s="823"/>
      <c r="AF180" s="823"/>
      <c r="AG180" s="823"/>
      <c r="AH180" s="823"/>
      <c r="AI180" s="823"/>
      <c r="AJ180" s="823"/>
      <c r="AK180" s="823"/>
      <c r="AL180" s="823"/>
      <c r="AM180" s="823"/>
      <c r="AN180" s="823"/>
      <c r="AO180" s="823"/>
      <c r="AP180" s="823"/>
      <c r="AQ180" s="823"/>
    </row>
    <row r="181" spans="1:43" s="19" customFormat="1" x14ac:dyDescent="0.25">
      <c r="A181" s="101"/>
      <c r="M181" s="20"/>
      <c r="U181" s="214"/>
      <c r="V181" s="823"/>
      <c r="W181" s="823"/>
      <c r="X181" s="823"/>
      <c r="Y181" s="823"/>
      <c r="Z181" s="823"/>
      <c r="AA181" s="823"/>
      <c r="AB181" s="823"/>
      <c r="AC181" s="823"/>
      <c r="AD181" s="823"/>
      <c r="AE181" s="823"/>
      <c r="AF181" s="823"/>
      <c r="AG181" s="823"/>
      <c r="AH181" s="823"/>
      <c r="AI181" s="823"/>
      <c r="AJ181" s="823"/>
      <c r="AK181" s="823"/>
      <c r="AL181" s="823"/>
      <c r="AM181" s="823"/>
      <c r="AN181" s="823"/>
      <c r="AO181" s="823"/>
      <c r="AP181" s="823"/>
      <c r="AQ181" s="823"/>
    </row>
    <row r="182" spans="1:43" s="19" customFormat="1" x14ac:dyDescent="0.25">
      <c r="A182" s="101"/>
      <c r="M182" s="20"/>
      <c r="U182" s="214"/>
      <c r="V182" s="823"/>
      <c r="W182" s="823"/>
      <c r="X182" s="823"/>
      <c r="Y182" s="823"/>
      <c r="Z182" s="823"/>
      <c r="AA182" s="823"/>
      <c r="AB182" s="823"/>
      <c r="AC182" s="823"/>
      <c r="AD182" s="823"/>
      <c r="AE182" s="823"/>
      <c r="AF182" s="823"/>
      <c r="AG182" s="823"/>
      <c r="AH182" s="823"/>
      <c r="AI182" s="823"/>
      <c r="AJ182" s="823"/>
      <c r="AK182" s="823"/>
      <c r="AL182" s="823"/>
      <c r="AM182" s="823"/>
      <c r="AN182" s="823"/>
      <c r="AO182" s="823"/>
      <c r="AP182" s="823"/>
      <c r="AQ182" s="823"/>
    </row>
    <row r="183" spans="1:43" s="19" customFormat="1" x14ac:dyDescent="0.25">
      <c r="A183" s="101"/>
      <c r="M183" s="20"/>
      <c r="U183" s="214"/>
      <c r="V183" s="823"/>
      <c r="W183" s="823"/>
      <c r="X183" s="823"/>
      <c r="Y183" s="823"/>
      <c r="Z183" s="823"/>
      <c r="AA183" s="823"/>
      <c r="AB183" s="823"/>
      <c r="AC183" s="823"/>
      <c r="AD183" s="823"/>
      <c r="AE183" s="823"/>
      <c r="AF183" s="823"/>
      <c r="AG183" s="823"/>
      <c r="AH183" s="823"/>
      <c r="AI183" s="823"/>
      <c r="AJ183" s="823"/>
      <c r="AK183" s="823"/>
      <c r="AL183" s="823"/>
      <c r="AM183" s="823"/>
      <c r="AN183" s="823"/>
      <c r="AO183" s="823"/>
      <c r="AP183" s="823"/>
      <c r="AQ183" s="823"/>
    </row>
    <row r="184" spans="1:43" s="19" customFormat="1" x14ac:dyDescent="0.25">
      <c r="A184" s="101"/>
      <c r="M184" s="20"/>
      <c r="U184" s="214"/>
      <c r="V184" s="823"/>
      <c r="W184" s="823"/>
      <c r="X184" s="823"/>
      <c r="Y184" s="823"/>
      <c r="Z184" s="823"/>
      <c r="AA184" s="823"/>
      <c r="AB184" s="823"/>
      <c r="AC184" s="823"/>
      <c r="AD184" s="823"/>
      <c r="AE184" s="823"/>
      <c r="AF184" s="823"/>
      <c r="AG184" s="823"/>
      <c r="AH184" s="823"/>
      <c r="AI184" s="823"/>
      <c r="AJ184" s="823"/>
      <c r="AK184" s="823"/>
      <c r="AL184" s="823"/>
      <c r="AM184" s="823"/>
      <c r="AN184" s="823"/>
      <c r="AO184" s="823"/>
      <c r="AP184" s="823"/>
      <c r="AQ184" s="823"/>
    </row>
    <row r="185" spans="1:43" s="19" customFormat="1" x14ac:dyDescent="0.25">
      <c r="A185" s="101"/>
      <c r="M185" s="20"/>
      <c r="U185" s="214"/>
      <c r="V185" s="823"/>
      <c r="W185" s="823"/>
      <c r="X185" s="823"/>
      <c r="Y185" s="823"/>
      <c r="Z185" s="823"/>
      <c r="AA185" s="823"/>
      <c r="AB185" s="823"/>
      <c r="AC185" s="823"/>
      <c r="AD185" s="823"/>
      <c r="AE185" s="823"/>
      <c r="AF185" s="823"/>
      <c r="AG185" s="823"/>
      <c r="AH185" s="823"/>
      <c r="AI185" s="823"/>
      <c r="AJ185" s="823"/>
      <c r="AK185" s="823"/>
      <c r="AL185" s="823"/>
      <c r="AM185" s="823"/>
      <c r="AN185" s="823"/>
      <c r="AO185" s="823"/>
      <c r="AP185" s="823"/>
      <c r="AQ185" s="823"/>
    </row>
    <row r="186" spans="1:43" s="19" customFormat="1" x14ac:dyDescent="0.25">
      <c r="A186" s="101"/>
      <c r="M186" s="20"/>
      <c r="U186" s="214"/>
      <c r="V186" s="823"/>
      <c r="W186" s="823"/>
      <c r="X186" s="823"/>
      <c r="Y186" s="823"/>
      <c r="Z186" s="823"/>
      <c r="AA186" s="823"/>
      <c r="AB186" s="823"/>
      <c r="AC186" s="823"/>
      <c r="AD186" s="823"/>
      <c r="AE186" s="823"/>
      <c r="AF186" s="823"/>
      <c r="AG186" s="823"/>
      <c r="AH186" s="823"/>
      <c r="AI186" s="823"/>
      <c r="AJ186" s="823"/>
      <c r="AK186" s="823"/>
      <c r="AL186" s="823"/>
      <c r="AM186" s="823"/>
      <c r="AN186" s="823"/>
      <c r="AO186" s="823"/>
      <c r="AP186" s="823"/>
      <c r="AQ186" s="823"/>
    </row>
    <row r="187" spans="1:43" s="19" customFormat="1" x14ac:dyDescent="0.25">
      <c r="A187" s="101"/>
      <c r="M187" s="20"/>
      <c r="U187" s="214"/>
      <c r="V187" s="823"/>
      <c r="W187" s="823"/>
      <c r="X187" s="823"/>
      <c r="Y187" s="823"/>
      <c r="Z187" s="823"/>
      <c r="AA187" s="823"/>
      <c r="AB187" s="823"/>
      <c r="AC187" s="823"/>
      <c r="AD187" s="823"/>
      <c r="AE187" s="823"/>
      <c r="AF187" s="823"/>
      <c r="AG187" s="823"/>
      <c r="AH187" s="823"/>
      <c r="AI187" s="823"/>
      <c r="AJ187" s="823"/>
      <c r="AK187" s="823"/>
      <c r="AL187" s="823"/>
      <c r="AM187" s="823"/>
      <c r="AN187" s="823"/>
      <c r="AO187" s="823"/>
      <c r="AP187" s="823"/>
      <c r="AQ187" s="823"/>
    </row>
    <row r="188" spans="1:43" s="19" customFormat="1" x14ac:dyDescent="0.25">
      <c r="A188" s="101"/>
      <c r="M188" s="20"/>
      <c r="U188" s="214"/>
      <c r="V188" s="823"/>
      <c r="W188" s="823"/>
      <c r="X188" s="823"/>
      <c r="Y188" s="823"/>
      <c r="Z188" s="823"/>
      <c r="AA188" s="823"/>
      <c r="AB188" s="823"/>
      <c r="AC188" s="823"/>
      <c r="AD188" s="823"/>
      <c r="AE188" s="823"/>
      <c r="AF188" s="823"/>
      <c r="AG188" s="823"/>
      <c r="AH188" s="823"/>
      <c r="AI188" s="823"/>
      <c r="AJ188" s="823"/>
      <c r="AK188" s="823"/>
      <c r="AL188" s="823"/>
      <c r="AM188" s="823"/>
      <c r="AN188" s="823"/>
      <c r="AO188" s="823"/>
      <c r="AP188" s="823"/>
      <c r="AQ188" s="823"/>
    </row>
    <row r="189" spans="1:43" s="19" customFormat="1" x14ac:dyDescent="0.25">
      <c r="A189" s="101"/>
      <c r="M189" s="20"/>
      <c r="U189" s="214"/>
      <c r="V189" s="823"/>
      <c r="W189" s="823"/>
      <c r="X189" s="823"/>
      <c r="Y189" s="823"/>
      <c r="Z189" s="823"/>
      <c r="AA189" s="823"/>
      <c r="AB189" s="823"/>
      <c r="AC189" s="823"/>
      <c r="AD189" s="823"/>
      <c r="AE189" s="823"/>
      <c r="AF189" s="823"/>
      <c r="AG189" s="823"/>
      <c r="AH189" s="823"/>
      <c r="AI189" s="823"/>
      <c r="AJ189" s="823"/>
      <c r="AK189" s="823"/>
      <c r="AL189" s="823"/>
      <c r="AM189" s="823"/>
      <c r="AN189" s="823"/>
      <c r="AO189" s="823"/>
      <c r="AP189" s="823"/>
      <c r="AQ189" s="823"/>
    </row>
    <row r="190" spans="1:43" s="19" customFormat="1" x14ac:dyDescent="0.25">
      <c r="A190" s="101"/>
      <c r="M190" s="20"/>
      <c r="U190" s="214"/>
      <c r="V190" s="823"/>
      <c r="W190" s="823"/>
      <c r="X190" s="823"/>
      <c r="Y190" s="823"/>
      <c r="Z190" s="823"/>
      <c r="AA190" s="823"/>
      <c r="AB190" s="823"/>
      <c r="AC190" s="823"/>
      <c r="AD190" s="823"/>
      <c r="AE190" s="823"/>
      <c r="AF190" s="823"/>
      <c r="AG190" s="823"/>
      <c r="AH190" s="823"/>
      <c r="AI190" s="823"/>
      <c r="AJ190" s="823"/>
      <c r="AK190" s="823"/>
      <c r="AL190" s="823"/>
      <c r="AM190" s="823"/>
      <c r="AN190" s="823"/>
      <c r="AO190" s="823"/>
      <c r="AP190" s="823"/>
      <c r="AQ190" s="823"/>
    </row>
    <row r="191" spans="1:43" s="19" customFormat="1" x14ac:dyDescent="0.25">
      <c r="A191" s="101"/>
      <c r="M191" s="20"/>
      <c r="U191" s="214"/>
      <c r="V191" s="823"/>
      <c r="W191" s="823"/>
      <c r="X191" s="823"/>
      <c r="Y191" s="823"/>
      <c r="Z191" s="823"/>
      <c r="AA191" s="823"/>
      <c r="AB191" s="823"/>
      <c r="AC191" s="823"/>
      <c r="AD191" s="823"/>
      <c r="AE191" s="823"/>
      <c r="AF191" s="823"/>
      <c r="AG191" s="823"/>
      <c r="AH191" s="823"/>
      <c r="AI191" s="823"/>
      <c r="AJ191" s="823"/>
      <c r="AK191" s="823"/>
      <c r="AL191" s="823"/>
      <c r="AM191" s="823"/>
      <c r="AN191" s="823"/>
      <c r="AO191" s="823"/>
      <c r="AP191" s="823"/>
      <c r="AQ191" s="823"/>
    </row>
    <row r="192" spans="1:43" s="19" customFormat="1" x14ac:dyDescent="0.25">
      <c r="A192" s="101"/>
      <c r="M192" s="20"/>
      <c r="U192" s="214"/>
      <c r="V192" s="823"/>
      <c r="W192" s="823"/>
      <c r="X192" s="823"/>
      <c r="Y192" s="823"/>
      <c r="Z192" s="823"/>
      <c r="AA192" s="823"/>
      <c r="AB192" s="823"/>
      <c r="AC192" s="823"/>
      <c r="AD192" s="823"/>
      <c r="AE192" s="823"/>
      <c r="AF192" s="823"/>
      <c r="AG192" s="823"/>
      <c r="AH192" s="823"/>
      <c r="AI192" s="823"/>
      <c r="AJ192" s="823"/>
      <c r="AK192" s="823"/>
      <c r="AL192" s="823"/>
      <c r="AM192" s="823"/>
      <c r="AN192" s="823"/>
      <c r="AO192" s="823"/>
      <c r="AP192" s="823"/>
      <c r="AQ192" s="823"/>
    </row>
    <row r="193" spans="1:43" s="19" customFormat="1" x14ac:dyDescent="0.25">
      <c r="A193" s="101"/>
      <c r="M193" s="20"/>
      <c r="U193" s="214"/>
      <c r="V193" s="823"/>
      <c r="W193" s="823"/>
      <c r="X193" s="823"/>
      <c r="Y193" s="823"/>
      <c r="Z193" s="823"/>
      <c r="AA193" s="823"/>
      <c r="AB193" s="823"/>
      <c r="AC193" s="823"/>
      <c r="AD193" s="823"/>
      <c r="AE193" s="823"/>
      <c r="AF193" s="823"/>
      <c r="AG193" s="823"/>
      <c r="AH193" s="823"/>
      <c r="AI193" s="823"/>
      <c r="AJ193" s="823"/>
      <c r="AK193" s="823"/>
      <c r="AL193" s="823"/>
      <c r="AM193" s="823"/>
      <c r="AN193" s="823"/>
      <c r="AO193" s="823"/>
      <c r="AP193" s="823"/>
      <c r="AQ193" s="823"/>
    </row>
    <row r="194" spans="1:43" s="19" customFormat="1" x14ac:dyDescent="0.25">
      <c r="A194" s="101"/>
      <c r="M194" s="20"/>
      <c r="U194" s="214"/>
      <c r="V194" s="823"/>
      <c r="W194" s="823"/>
      <c r="X194" s="823"/>
      <c r="Y194" s="823"/>
      <c r="Z194" s="823"/>
      <c r="AA194" s="823"/>
      <c r="AB194" s="823"/>
      <c r="AC194" s="823"/>
      <c r="AD194" s="823"/>
      <c r="AE194" s="823"/>
      <c r="AF194" s="823"/>
      <c r="AG194" s="823"/>
      <c r="AH194" s="823"/>
      <c r="AI194" s="823"/>
      <c r="AJ194" s="823"/>
      <c r="AK194" s="823"/>
      <c r="AL194" s="823"/>
      <c r="AM194" s="823"/>
      <c r="AN194" s="823"/>
      <c r="AO194" s="823"/>
      <c r="AP194" s="823"/>
      <c r="AQ194" s="823"/>
    </row>
    <row r="195" spans="1:43" s="19" customFormat="1" x14ac:dyDescent="0.25">
      <c r="A195" s="101"/>
      <c r="M195" s="20"/>
      <c r="U195" s="214"/>
      <c r="V195" s="823"/>
      <c r="W195" s="823"/>
      <c r="X195" s="823"/>
      <c r="Y195" s="823"/>
      <c r="Z195" s="823"/>
      <c r="AA195" s="823"/>
      <c r="AB195" s="823"/>
      <c r="AC195" s="823"/>
      <c r="AD195" s="823"/>
      <c r="AE195" s="823"/>
      <c r="AF195" s="823"/>
      <c r="AG195" s="823"/>
      <c r="AH195" s="823"/>
      <c r="AI195" s="823"/>
      <c r="AJ195" s="823"/>
      <c r="AK195" s="823"/>
      <c r="AL195" s="823"/>
      <c r="AM195" s="823"/>
      <c r="AN195" s="823"/>
      <c r="AO195" s="823"/>
      <c r="AP195" s="823"/>
      <c r="AQ195" s="823"/>
    </row>
    <row r="196" spans="1:43" s="19" customFormat="1" x14ac:dyDescent="0.25">
      <c r="A196" s="101"/>
      <c r="M196" s="20"/>
      <c r="U196" s="214"/>
      <c r="V196" s="823"/>
      <c r="W196" s="823"/>
      <c r="X196" s="823"/>
      <c r="Y196" s="823"/>
      <c r="Z196" s="823"/>
      <c r="AA196" s="823"/>
      <c r="AB196" s="823"/>
      <c r="AC196" s="823"/>
      <c r="AD196" s="823"/>
      <c r="AE196" s="823"/>
      <c r="AF196" s="823"/>
      <c r="AG196" s="823"/>
      <c r="AH196" s="823"/>
      <c r="AI196" s="823"/>
      <c r="AJ196" s="823"/>
      <c r="AK196" s="823"/>
      <c r="AL196" s="823"/>
      <c r="AM196" s="823"/>
      <c r="AN196" s="823"/>
      <c r="AO196" s="823"/>
      <c r="AP196" s="823"/>
      <c r="AQ196" s="823"/>
    </row>
    <row r="197" spans="1:43" s="19" customFormat="1" x14ac:dyDescent="0.25">
      <c r="A197" s="101"/>
      <c r="M197" s="20"/>
      <c r="U197" s="214"/>
      <c r="V197" s="823"/>
      <c r="W197" s="823"/>
      <c r="X197" s="823"/>
      <c r="Y197" s="823"/>
      <c r="Z197" s="823"/>
      <c r="AA197" s="823"/>
      <c r="AB197" s="823"/>
      <c r="AC197" s="823"/>
      <c r="AD197" s="823"/>
      <c r="AE197" s="823"/>
      <c r="AF197" s="823"/>
      <c r="AG197" s="823"/>
      <c r="AH197" s="823"/>
      <c r="AI197" s="823"/>
      <c r="AJ197" s="823"/>
      <c r="AK197" s="823"/>
      <c r="AL197" s="823"/>
      <c r="AM197" s="823"/>
      <c r="AN197" s="823"/>
      <c r="AO197" s="823"/>
      <c r="AP197" s="823"/>
      <c r="AQ197" s="823"/>
    </row>
    <row r="198" spans="1:43" s="19" customFormat="1" x14ac:dyDescent="0.25">
      <c r="A198" s="101"/>
      <c r="M198" s="20"/>
      <c r="U198" s="214"/>
      <c r="V198" s="823"/>
      <c r="W198" s="823"/>
      <c r="X198" s="823"/>
      <c r="Y198" s="823"/>
      <c r="Z198" s="823"/>
      <c r="AA198" s="823"/>
      <c r="AB198" s="823"/>
      <c r="AC198" s="823"/>
      <c r="AD198" s="823"/>
      <c r="AE198" s="823"/>
      <c r="AF198" s="823"/>
      <c r="AG198" s="823"/>
      <c r="AH198" s="823"/>
      <c r="AI198" s="823"/>
      <c r="AJ198" s="823"/>
      <c r="AK198" s="823"/>
      <c r="AL198" s="823"/>
      <c r="AM198" s="823"/>
      <c r="AN198" s="823"/>
      <c r="AO198" s="823"/>
      <c r="AP198" s="823"/>
      <c r="AQ198" s="823"/>
    </row>
    <row r="199" spans="1:43" s="19" customFormat="1" x14ac:dyDescent="0.25">
      <c r="A199" s="101"/>
      <c r="M199" s="20"/>
      <c r="U199" s="214"/>
      <c r="V199" s="823"/>
      <c r="W199" s="823"/>
      <c r="X199" s="823"/>
      <c r="Y199" s="823"/>
      <c r="Z199" s="823"/>
      <c r="AA199" s="823"/>
      <c r="AB199" s="823"/>
      <c r="AC199" s="823"/>
      <c r="AD199" s="823"/>
      <c r="AE199" s="823"/>
      <c r="AF199" s="823"/>
      <c r="AG199" s="823"/>
      <c r="AH199" s="823"/>
      <c r="AI199" s="823"/>
      <c r="AJ199" s="823"/>
      <c r="AK199" s="823"/>
      <c r="AL199" s="823"/>
      <c r="AM199" s="823"/>
      <c r="AN199" s="823"/>
      <c r="AO199" s="823"/>
      <c r="AP199" s="823"/>
      <c r="AQ199" s="823"/>
    </row>
    <row r="200" spans="1:43" s="19" customFormat="1" x14ac:dyDescent="0.25">
      <c r="A200" s="101"/>
      <c r="M200" s="20"/>
      <c r="U200" s="214"/>
      <c r="V200" s="823"/>
      <c r="W200" s="823"/>
      <c r="X200" s="823"/>
      <c r="Y200" s="823"/>
      <c r="Z200" s="823"/>
      <c r="AA200" s="823"/>
      <c r="AB200" s="823"/>
      <c r="AC200" s="823"/>
      <c r="AD200" s="823"/>
      <c r="AE200" s="823"/>
      <c r="AF200" s="823"/>
      <c r="AG200" s="823"/>
      <c r="AH200" s="823"/>
      <c r="AI200" s="823"/>
      <c r="AJ200" s="823"/>
      <c r="AK200" s="823"/>
      <c r="AL200" s="823"/>
      <c r="AM200" s="823"/>
      <c r="AN200" s="823"/>
      <c r="AO200" s="823"/>
      <c r="AP200" s="823"/>
      <c r="AQ200" s="823"/>
    </row>
    <row r="201" spans="1:43" s="19" customFormat="1" x14ac:dyDescent="0.25">
      <c r="A201" s="101"/>
      <c r="M201" s="20"/>
      <c r="U201" s="214"/>
      <c r="V201" s="823"/>
      <c r="W201" s="823"/>
      <c r="X201" s="823"/>
      <c r="Y201" s="823"/>
      <c r="Z201" s="823"/>
      <c r="AA201" s="823"/>
      <c r="AB201" s="823"/>
      <c r="AC201" s="823"/>
      <c r="AD201" s="823"/>
      <c r="AE201" s="823"/>
      <c r="AF201" s="823"/>
      <c r="AG201" s="823"/>
      <c r="AH201" s="823"/>
      <c r="AI201" s="823"/>
      <c r="AJ201" s="823"/>
      <c r="AK201" s="823"/>
      <c r="AL201" s="823"/>
      <c r="AM201" s="823"/>
      <c r="AN201" s="823"/>
      <c r="AO201" s="823"/>
      <c r="AP201" s="823"/>
      <c r="AQ201" s="823"/>
    </row>
    <row r="202" spans="1:43" s="19" customFormat="1" x14ac:dyDescent="0.25">
      <c r="A202" s="101"/>
      <c r="M202" s="20"/>
      <c r="U202" s="214"/>
      <c r="V202" s="823"/>
      <c r="W202" s="823"/>
      <c r="X202" s="823"/>
      <c r="Y202" s="823"/>
      <c r="Z202" s="823"/>
      <c r="AA202" s="823"/>
      <c r="AB202" s="823"/>
      <c r="AC202" s="823"/>
      <c r="AD202" s="823"/>
      <c r="AE202" s="823"/>
      <c r="AF202" s="823"/>
      <c r="AG202" s="823"/>
      <c r="AH202" s="823"/>
      <c r="AI202" s="823"/>
      <c r="AJ202" s="823"/>
      <c r="AK202" s="823"/>
      <c r="AL202" s="823"/>
      <c r="AM202" s="823"/>
      <c r="AN202" s="823"/>
      <c r="AO202" s="823"/>
      <c r="AP202" s="823"/>
      <c r="AQ202" s="823"/>
    </row>
    <row r="203" spans="1:43" s="19" customFormat="1" x14ac:dyDescent="0.25">
      <c r="A203" s="101"/>
      <c r="M203" s="20"/>
      <c r="U203" s="214"/>
      <c r="V203" s="823"/>
      <c r="W203" s="823"/>
      <c r="X203" s="823"/>
      <c r="Y203" s="823"/>
      <c r="Z203" s="823"/>
      <c r="AA203" s="823"/>
      <c r="AB203" s="823"/>
      <c r="AC203" s="823"/>
      <c r="AD203" s="823"/>
      <c r="AE203" s="823"/>
      <c r="AF203" s="823"/>
      <c r="AG203" s="823"/>
      <c r="AH203" s="823"/>
      <c r="AI203" s="823"/>
      <c r="AJ203" s="823"/>
      <c r="AK203" s="823"/>
      <c r="AL203" s="823"/>
      <c r="AM203" s="823"/>
      <c r="AN203" s="823"/>
      <c r="AO203" s="823"/>
      <c r="AP203" s="823"/>
      <c r="AQ203" s="823"/>
    </row>
    <row r="204" spans="1:43" s="19" customFormat="1" x14ac:dyDescent="0.25">
      <c r="A204" s="101"/>
      <c r="M204" s="20"/>
      <c r="U204" s="214"/>
      <c r="V204" s="823"/>
      <c r="W204" s="823"/>
      <c r="X204" s="823"/>
      <c r="Y204" s="823"/>
      <c r="Z204" s="823"/>
      <c r="AA204" s="823"/>
      <c r="AB204" s="823"/>
      <c r="AC204" s="823"/>
      <c r="AD204" s="823"/>
      <c r="AE204" s="823"/>
      <c r="AF204" s="823"/>
      <c r="AG204" s="823"/>
      <c r="AH204" s="823"/>
      <c r="AI204" s="823"/>
      <c r="AJ204" s="823"/>
      <c r="AK204" s="823"/>
      <c r="AL204" s="823"/>
      <c r="AM204" s="823"/>
      <c r="AN204" s="823"/>
      <c r="AO204" s="823"/>
      <c r="AP204" s="823"/>
      <c r="AQ204" s="823"/>
    </row>
    <row r="205" spans="1:43" s="15" customFormat="1" x14ac:dyDescent="0.25">
      <c r="A205" s="102"/>
      <c r="M205" s="16"/>
      <c r="U205" s="215"/>
      <c r="V205" s="824"/>
      <c r="W205" s="824"/>
      <c r="X205" s="824"/>
      <c r="Y205" s="824"/>
      <c r="Z205" s="824"/>
      <c r="AA205" s="824"/>
      <c r="AB205" s="824"/>
      <c r="AC205" s="824"/>
      <c r="AD205" s="824"/>
      <c r="AE205" s="824"/>
      <c r="AF205" s="824"/>
      <c r="AG205" s="824"/>
      <c r="AH205" s="824"/>
      <c r="AI205" s="824"/>
      <c r="AJ205" s="824"/>
      <c r="AK205" s="824"/>
      <c r="AL205" s="824"/>
      <c r="AM205" s="824"/>
      <c r="AN205" s="824"/>
      <c r="AO205" s="824"/>
      <c r="AP205" s="824"/>
      <c r="AQ205" s="824"/>
    </row>
    <row r="206" spans="1:43" s="15" customFormat="1" x14ac:dyDescent="0.25">
      <c r="A206" s="102"/>
      <c r="M206" s="16"/>
      <c r="U206" s="215"/>
      <c r="V206" s="824"/>
      <c r="W206" s="824"/>
      <c r="X206" s="824"/>
      <c r="Y206" s="824"/>
      <c r="Z206" s="824"/>
      <c r="AA206" s="824"/>
      <c r="AB206" s="824"/>
      <c r="AC206" s="824"/>
      <c r="AD206" s="824"/>
      <c r="AE206" s="824"/>
      <c r="AF206" s="824"/>
      <c r="AG206" s="824"/>
      <c r="AH206" s="824"/>
      <c r="AI206" s="824"/>
      <c r="AJ206" s="824"/>
      <c r="AK206" s="824"/>
      <c r="AL206" s="824"/>
      <c r="AM206" s="824"/>
      <c r="AN206" s="824"/>
      <c r="AO206" s="824"/>
      <c r="AP206" s="824"/>
      <c r="AQ206" s="824"/>
    </row>
    <row r="207" spans="1:43" s="15" customFormat="1" x14ac:dyDescent="0.25">
      <c r="A207" s="102"/>
      <c r="M207" s="16"/>
      <c r="U207" s="215"/>
      <c r="V207" s="824"/>
      <c r="W207" s="824"/>
      <c r="X207" s="824"/>
      <c r="Y207" s="824"/>
      <c r="Z207" s="824"/>
      <c r="AA207" s="824"/>
      <c r="AB207" s="824"/>
      <c r="AC207" s="824"/>
      <c r="AD207" s="824"/>
      <c r="AE207" s="824"/>
      <c r="AF207" s="824"/>
      <c r="AG207" s="824"/>
      <c r="AH207" s="824"/>
      <c r="AI207" s="824"/>
      <c r="AJ207" s="824"/>
      <c r="AK207" s="824"/>
      <c r="AL207" s="824"/>
      <c r="AM207" s="824"/>
      <c r="AN207" s="824"/>
      <c r="AO207" s="824"/>
      <c r="AP207" s="824"/>
      <c r="AQ207" s="824"/>
    </row>
    <row r="208" spans="1:43" s="15" customFormat="1" x14ac:dyDescent="0.25">
      <c r="A208" s="102"/>
      <c r="M208" s="16"/>
      <c r="U208" s="215"/>
      <c r="V208" s="824"/>
      <c r="W208" s="824"/>
      <c r="X208" s="824"/>
      <c r="Y208" s="824"/>
      <c r="Z208" s="824"/>
      <c r="AA208" s="824"/>
      <c r="AB208" s="824"/>
      <c r="AC208" s="824"/>
      <c r="AD208" s="824"/>
      <c r="AE208" s="824"/>
      <c r="AF208" s="824"/>
      <c r="AG208" s="824"/>
      <c r="AH208" s="824"/>
      <c r="AI208" s="824"/>
      <c r="AJ208" s="824"/>
      <c r="AK208" s="824"/>
      <c r="AL208" s="824"/>
      <c r="AM208" s="824"/>
      <c r="AN208" s="824"/>
      <c r="AO208" s="824"/>
      <c r="AP208" s="824"/>
      <c r="AQ208" s="824"/>
    </row>
    <row r="209" spans="1:43" s="15" customFormat="1" x14ac:dyDescent="0.25">
      <c r="A209" s="102"/>
      <c r="M209" s="16"/>
      <c r="U209" s="215"/>
      <c r="V209" s="824"/>
      <c r="W209" s="824"/>
      <c r="X209" s="824"/>
      <c r="Y209" s="824"/>
      <c r="Z209" s="824"/>
      <c r="AA209" s="824"/>
      <c r="AB209" s="824"/>
      <c r="AC209" s="824"/>
      <c r="AD209" s="824"/>
      <c r="AE209" s="824"/>
      <c r="AF209" s="824"/>
      <c r="AG209" s="824"/>
      <c r="AH209" s="824"/>
      <c r="AI209" s="824"/>
      <c r="AJ209" s="824"/>
      <c r="AK209" s="824"/>
      <c r="AL209" s="824"/>
      <c r="AM209" s="824"/>
      <c r="AN209" s="824"/>
      <c r="AO209" s="824"/>
      <c r="AP209" s="824"/>
      <c r="AQ209" s="824"/>
    </row>
    <row r="210" spans="1:43" s="15" customFormat="1" x14ac:dyDescent="0.25">
      <c r="A210" s="102"/>
      <c r="M210" s="16"/>
      <c r="U210" s="215"/>
      <c r="V210" s="824"/>
      <c r="W210" s="824"/>
      <c r="X210" s="824"/>
      <c r="Y210" s="824"/>
      <c r="Z210" s="824"/>
      <c r="AA210" s="824"/>
      <c r="AB210" s="824"/>
      <c r="AC210" s="824"/>
      <c r="AD210" s="824"/>
      <c r="AE210" s="824"/>
      <c r="AF210" s="824"/>
      <c r="AG210" s="824"/>
      <c r="AH210" s="824"/>
      <c r="AI210" s="824"/>
      <c r="AJ210" s="824"/>
      <c r="AK210" s="824"/>
      <c r="AL210" s="824"/>
      <c r="AM210" s="824"/>
      <c r="AN210" s="824"/>
      <c r="AO210" s="824"/>
      <c r="AP210" s="824"/>
      <c r="AQ210" s="824"/>
    </row>
    <row r="211" spans="1:43" s="15" customFormat="1" x14ac:dyDescent="0.25">
      <c r="A211" s="102"/>
      <c r="M211" s="16"/>
      <c r="U211" s="215"/>
      <c r="V211" s="824"/>
      <c r="W211" s="824"/>
      <c r="X211" s="824"/>
      <c r="Y211" s="824"/>
      <c r="Z211" s="824"/>
      <c r="AA211" s="824"/>
      <c r="AB211" s="824"/>
      <c r="AC211" s="824"/>
      <c r="AD211" s="824"/>
      <c r="AE211" s="824"/>
      <c r="AF211" s="824"/>
      <c r="AG211" s="824"/>
      <c r="AH211" s="824"/>
      <c r="AI211" s="824"/>
      <c r="AJ211" s="824"/>
      <c r="AK211" s="824"/>
      <c r="AL211" s="824"/>
      <c r="AM211" s="824"/>
      <c r="AN211" s="824"/>
      <c r="AO211" s="824"/>
      <c r="AP211" s="824"/>
      <c r="AQ211" s="824"/>
    </row>
    <row r="212" spans="1:43" s="15" customFormat="1" x14ac:dyDescent="0.25">
      <c r="A212" s="102"/>
      <c r="M212" s="16"/>
      <c r="U212" s="215"/>
      <c r="V212" s="824"/>
      <c r="W212" s="824"/>
      <c r="X212" s="824"/>
      <c r="Y212" s="824"/>
      <c r="Z212" s="824"/>
      <c r="AA212" s="824"/>
      <c r="AB212" s="824"/>
      <c r="AC212" s="824"/>
      <c r="AD212" s="824"/>
      <c r="AE212" s="824"/>
      <c r="AF212" s="824"/>
      <c r="AG212" s="824"/>
      <c r="AH212" s="824"/>
      <c r="AI212" s="824"/>
      <c r="AJ212" s="824"/>
      <c r="AK212" s="824"/>
      <c r="AL212" s="824"/>
      <c r="AM212" s="824"/>
      <c r="AN212" s="824"/>
      <c r="AO212" s="824"/>
      <c r="AP212" s="824"/>
      <c r="AQ212" s="824"/>
    </row>
    <row r="213" spans="1:43" s="15" customFormat="1" x14ac:dyDescent="0.25">
      <c r="A213" s="102"/>
      <c r="M213" s="16"/>
      <c r="U213" s="215"/>
      <c r="V213" s="824"/>
      <c r="W213" s="824"/>
      <c r="X213" s="824"/>
      <c r="Y213" s="824"/>
      <c r="Z213" s="824"/>
      <c r="AA213" s="824"/>
      <c r="AB213" s="824"/>
      <c r="AC213" s="824"/>
      <c r="AD213" s="824"/>
      <c r="AE213" s="824"/>
      <c r="AF213" s="824"/>
      <c r="AG213" s="824"/>
      <c r="AH213" s="824"/>
      <c r="AI213" s="824"/>
      <c r="AJ213" s="824"/>
      <c r="AK213" s="824"/>
      <c r="AL213" s="824"/>
      <c r="AM213" s="824"/>
      <c r="AN213" s="824"/>
      <c r="AO213" s="824"/>
      <c r="AP213" s="824"/>
      <c r="AQ213" s="824"/>
    </row>
    <row r="214" spans="1:43" s="15" customFormat="1" x14ac:dyDescent="0.25">
      <c r="A214" s="102"/>
      <c r="M214" s="16"/>
      <c r="U214" s="215"/>
      <c r="V214" s="824"/>
      <c r="W214" s="824"/>
      <c r="X214" s="824"/>
      <c r="Y214" s="824"/>
      <c r="Z214" s="824"/>
      <c r="AA214" s="824"/>
      <c r="AB214" s="824"/>
      <c r="AC214" s="824"/>
      <c r="AD214" s="824"/>
      <c r="AE214" s="824"/>
      <c r="AF214" s="824"/>
      <c r="AG214" s="824"/>
      <c r="AH214" s="824"/>
      <c r="AI214" s="824"/>
      <c r="AJ214" s="824"/>
      <c r="AK214" s="824"/>
      <c r="AL214" s="824"/>
      <c r="AM214" s="824"/>
      <c r="AN214" s="824"/>
      <c r="AO214" s="824"/>
      <c r="AP214" s="824"/>
      <c r="AQ214" s="824"/>
    </row>
    <row r="215" spans="1:43" s="15" customFormat="1" x14ac:dyDescent="0.25">
      <c r="A215" s="102"/>
      <c r="M215" s="16"/>
      <c r="U215" s="215"/>
      <c r="V215" s="824"/>
      <c r="W215" s="824"/>
      <c r="X215" s="824"/>
      <c r="Y215" s="824"/>
      <c r="Z215" s="824"/>
      <c r="AA215" s="824"/>
      <c r="AB215" s="824"/>
      <c r="AC215" s="824"/>
      <c r="AD215" s="824"/>
      <c r="AE215" s="824"/>
      <c r="AF215" s="824"/>
      <c r="AG215" s="824"/>
      <c r="AH215" s="824"/>
      <c r="AI215" s="824"/>
      <c r="AJ215" s="824"/>
      <c r="AK215" s="824"/>
      <c r="AL215" s="824"/>
      <c r="AM215" s="824"/>
      <c r="AN215" s="824"/>
      <c r="AO215" s="824"/>
      <c r="AP215" s="824"/>
      <c r="AQ215" s="824"/>
    </row>
    <row r="216" spans="1:43" s="15" customFormat="1" x14ac:dyDescent="0.25">
      <c r="A216" s="102"/>
      <c r="M216" s="16"/>
      <c r="U216" s="215"/>
      <c r="V216" s="824"/>
      <c r="W216" s="824"/>
      <c r="X216" s="824"/>
      <c r="Y216" s="824"/>
      <c r="Z216" s="824"/>
      <c r="AA216" s="824"/>
      <c r="AB216" s="824"/>
      <c r="AC216" s="824"/>
      <c r="AD216" s="824"/>
      <c r="AE216" s="824"/>
      <c r="AF216" s="824"/>
      <c r="AG216" s="824"/>
      <c r="AH216" s="824"/>
      <c r="AI216" s="824"/>
      <c r="AJ216" s="824"/>
      <c r="AK216" s="824"/>
      <c r="AL216" s="824"/>
      <c r="AM216" s="824"/>
      <c r="AN216" s="824"/>
      <c r="AO216" s="824"/>
      <c r="AP216" s="824"/>
      <c r="AQ216" s="824"/>
    </row>
    <row r="217" spans="1:43" s="15" customFormat="1" x14ac:dyDescent="0.25">
      <c r="A217" s="102"/>
      <c r="M217" s="16"/>
      <c r="U217" s="215"/>
      <c r="V217" s="824"/>
      <c r="W217" s="824"/>
      <c r="X217" s="824"/>
      <c r="Y217" s="824"/>
      <c r="Z217" s="824"/>
      <c r="AA217" s="824"/>
      <c r="AB217" s="824"/>
      <c r="AC217" s="824"/>
      <c r="AD217" s="824"/>
      <c r="AE217" s="824"/>
      <c r="AF217" s="824"/>
      <c r="AG217" s="824"/>
      <c r="AH217" s="824"/>
      <c r="AI217" s="824"/>
      <c r="AJ217" s="824"/>
      <c r="AK217" s="824"/>
      <c r="AL217" s="824"/>
      <c r="AM217" s="824"/>
      <c r="AN217" s="824"/>
      <c r="AO217" s="824"/>
      <c r="AP217" s="824"/>
      <c r="AQ217" s="824"/>
    </row>
    <row r="218" spans="1:43" s="15" customFormat="1" x14ac:dyDescent="0.25">
      <c r="A218" s="102"/>
      <c r="M218" s="16"/>
      <c r="U218" s="215"/>
      <c r="V218" s="824"/>
      <c r="W218" s="824"/>
      <c r="X218" s="824"/>
      <c r="Y218" s="824"/>
      <c r="Z218" s="824"/>
      <c r="AA218" s="824"/>
      <c r="AB218" s="824"/>
      <c r="AC218" s="824"/>
      <c r="AD218" s="824"/>
      <c r="AE218" s="824"/>
      <c r="AF218" s="824"/>
      <c r="AG218" s="824"/>
      <c r="AH218" s="824"/>
      <c r="AI218" s="824"/>
      <c r="AJ218" s="824"/>
      <c r="AK218" s="824"/>
      <c r="AL218" s="824"/>
      <c r="AM218" s="824"/>
      <c r="AN218" s="824"/>
      <c r="AO218" s="824"/>
      <c r="AP218" s="824"/>
      <c r="AQ218" s="824"/>
    </row>
    <row r="219" spans="1:43" s="15" customFormat="1" x14ac:dyDescent="0.25">
      <c r="A219" s="102"/>
      <c r="M219" s="16"/>
      <c r="U219" s="215"/>
      <c r="V219" s="824"/>
      <c r="W219" s="824"/>
      <c r="X219" s="824"/>
      <c r="Y219" s="824"/>
      <c r="Z219" s="824"/>
      <c r="AA219" s="824"/>
      <c r="AB219" s="824"/>
      <c r="AC219" s="824"/>
      <c r="AD219" s="824"/>
      <c r="AE219" s="824"/>
      <c r="AF219" s="824"/>
      <c r="AG219" s="824"/>
      <c r="AH219" s="824"/>
      <c r="AI219" s="824"/>
      <c r="AJ219" s="824"/>
      <c r="AK219" s="824"/>
      <c r="AL219" s="824"/>
      <c r="AM219" s="824"/>
      <c r="AN219" s="824"/>
      <c r="AO219" s="824"/>
      <c r="AP219" s="824"/>
      <c r="AQ219" s="824"/>
    </row>
    <row r="220" spans="1:43" s="15" customFormat="1" x14ac:dyDescent="0.25">
      <c r="A220" s="102"/>
      <c r="M220" s="16"/>
      <c r="U220" s="215"/>
      <c r="V220" s="824"/>
      <c r="W220" s="824"/>
      <c r="X220" s="824"/>
      <c r="Y220" s="824"/>
      <c r="Z220" s="824"/>
      <c r="AA220" s="824"/>
      <c r="AB220" s="824"/>
      <c r="AC220" s="824"/>
      <c r="AD220" s="824"/>
      <c r="AE220" s="824"/>
      <c r="AF220" s="824"/>
      <c r="AG220" s="824"/>
      <c r="AH220" s="824"/>
      <c r="AI220" s="824"/>
      <c r="AJ220" s="824"/>
      <c r="AK220" s="824"/>
      <c r="AL220" s="824"/>
      <c r="AM220" s="824"/>
      <c r="AN220" s="824"/>
      <c r="AO220" s="824"/>
      <c r="AP220" s="824"/>
      <c r="AQ220" s="824"/>
    </row>
    <row r="221" spans="1:43" s="15" customFormat="1" x14ac:dyDescent="0.25">
      <c r="A221" s="102"/>
      <c r="M221" s="16"/>
      <c r="U221" s="215"/>
      <c r="V221" s="824"/>
      <c r="W221" s="824"/>
      <c r="X221" s="824"/>
      <c r="Y221" s="824"/>
      <c r="Z221" s="824"/>
      <c r="AA221" s="824"/>
      <c r="AB221" s="824"/>
      <c r="AC221" s="824"/>
      <c r="AD221" s="824"/>
      <c r="AE221" s="824"/>
      <c r="AF221" s="824"/>
      <c r="AG221" s="824"/>
      <c r="AH221" s="824"/>
      <c r="AI221" s="824"/>
      <c r="AJ221" s="824"/>
      <c r="AK221" s="824"/>
      <c r="AL221" s="824"/>
      <c r="AM221" s="824"/>
      <c r="AN221" s="824"/>
      <c r="AO221" s="824"/>
      <c r="AP221" s="824"/>
      <c r="AQ221" s="824"/>
    </row>
    <row r="222" spans="1:43" s="15" customFormat="1" x14ac:dyDescent="0.25">
      <c r="A222" s="102"/>
      <c r="M222" s="16"/>
      <c r="U222" s="215"/>
      <c r="V222" s="824"/>
      <c r="W222" s="824"/>
      <c r="X222" s="824"/>
      <c r="Y222" s="824"/>
      <c r="Z222" s="824"/>
      <c r="AA222" s="824"/>
      <c r="AB222" s="824"/>
      <c r="AC222" s="824"/>
      <c r="AD222" s="824"/>
      <c r="AE222" s="824"/>
      <c r="AF222" s="824"/>
      <c r="AG222" s="824"/>
      <c r="AH222" s="824"/>
      <c r="AI222" s="824"/>
      <c r="AJ222" s="824"/>
      <c r="AK222" s="824"/>
      <c r="AL222" s="824"/>
      <c r="AM222" s="824"/>
      <c r="AN222" s="824"/>
      <c r="AO222" s="824"/>
      <c r="AP222" s="824"/>
      <c r="AQ222" s="824"/>
    </row>
    <row r="223" spans="1:43" s="15" customFormat="1" x14ac:dyDescent="0.25">
      <c r="A223" s="102"/>
      <c r="M223" s="16"/>
      <c r="U223" s="215"/>
      <c r="V223" s="824"/>
      <c r="W223" s="824"/>
      <c r="X223" s="824"/>
      <c r="Y223" s="824"/>
      <c r="Z223" s="824"/>
      <c r="AA223" s="824"/>
      <c r="AB223" s="824"/>
      <c r="AC223" s="824"/>
      <c r="AD223" s="824"/>
      <c r="AE223" s="824"/>
      <c r="AF223" s="824"/>
      <c r="AG223" s="824"/>
      <c r="AH223" s="824"/>
      <c r="AI223" s="824"/>
      <c r="AJ223" s="824"/>
      <c r="AK223" s="824"/>
      <c r="AL223" s="824"/>
      <c r="AM223" s="824"/>
      <c r="AN223" s="824"/>
      <c r="AO223" s="824"/>
      <c r="AP223" s="824"/>
      <c r="AQ223" s="824"/>
    </row>
    <row r="224" spans="1:43" s="15" customFormat="1" x14ac:dyDescent="0.25">
      <c r="A224" s="102"/>
      <c r="M224" s="16"/>
      <c r="U224" s="215"/>
      <c r="V224" s="824"/>
      <c r="W224" s="824"/>
      <c r="X224" s="824"/>
      <c r="Y224" s="824"/>
      <c r="Z224" s="824"/>
      <c r="AA224" s="824"/>
      <c r="AB224" s="824"/>
      <c r="AC224" s="824"/>
      <c r="AD224" s="824"/>
      <c r="AE224" s="824"/>
      <c r="AF224" s="824"/>
      <c r="AG224" s="824"/>
      <c r="AH224" s="824"/>
      <c r="AI224" s="824"/>
      <c r="AJ224" s="824"/>
      <c r="AK224" s="824"/>
      <c r="AL224" s="824"/>
      <c r="AM224" s="824"/>
      <c r="AN224" s="824"/>
      <c r="AO224" s="824"/>
      <c r="AP224" s="824"/>
      <c r="AQ224" s="824"/>
    </row>
    <row r="225" spans="1:43" s="15" customFormat="1" x14ac:dyDescent="0.25">
      <c r="A225" s="102"/>
      <c r="M225" s="16"/>
      <c r="U225" s="215"/>
      <c r="V225" s="824"/>
      <c r="W225" s="824"/>
      <c r="X225" s="824"/>
      <c r="Y225" s="824"/>
      <c r="Z225" s="824"/>
      <c r="AA225" s="824"/>
      <c r="AB225" s="824"/>
      <c r="AC225" s="824"/>
      <c r="AD225" s="824"/>
      <c r="AE225" s="824"/>
      <c r="AF225" s="824"/>
      <c r="AG225" s="824"/>
      <c r="AH225" s="824"/>
      <c r="AI225" s="824"/>
      <c r="AJ225" s="824"/>
      <c r="AK225" s="824"/>
      <c r="AL225" s="824"/>
      <c r="AM225" s="824"/>
      <c r="AN225" s="824"/>
      <c r="AO225" s="824"/>
      <c r="AP225" s="824"/>
      <c r="AQ225" s="824"/>
    </row>
    <row r="226" spans="1:43" s="15" customFormat="1" x14ac:dyDescent="0.25">
      <c r="A226" s="102"/>
      <c r="M226" s="16"/>
      <c r="U226" s="215"/>
      <c r="V226" s="824"/>
      <c r="W226" s="824"/>
      <c r="X226" s="824"/>
      <c r="Y226" s="824"/>
      <c r="Z226" s="824"/>
      <c r="AA226" s="824"/>
      <c r="AB226" s="824"/>
      <c r="AC226" s="824"/>
      <c r="AD226" s="824"/>
      <c r="AE226" s="824"/>
      <c r="AF226" s="824"/>
      <c r="AG226" s="824"/>
      <c r="AH226" s="824"/>
      <c r="AI226" s="824"/>
      <c r="AJ226" s="824"/>
      <c r="AK226" s="824"/>
      <c r="AL226" s="824"/>
      <c r="AM226" s="824"/>
      <c r="AN226" s="824"/>
      <c r="AO226" s="824"/>
      <c r="AP226" s="824"/>
      <c r="AQ226" s="824"/>
    </row>
    <row r="227" spans="1:43" s="15" customFormat="1" x14ac:dyDescent="0.25">
      <c r="A227" s="102"/>
      <c r="M227" s="16"/>
      <c r="U227" s="215"/>
      <c r="V227" s="824"/>
      <c r="W227" s="824"/>
      <c r="X227" s="824"/>
      <c r="Y227" s="824"/>
      <c r="Z227" s="824"/>
      <c r="AA227" s="824"/>
      <c r="AB227" s="824"/>
      <c r="AC227" s="824"/>
      <c r="AD227" s="824"/>
      <c r="AE227" s="824"/>
      <c r="AF227" s="824"/>
      <c r="AG227" s="824"/>
      <c r="AH227" s="824"/>
      <c r="AI227" s="824"/>
      <c r="AJ227" s="824"/>
      <c r="AK227" s="824"/>
      <c r="AL227" s="824"/>
      <c r="AM227" s="824"/>
      <c r="AN227" s="824"/>
      <c r="AO227" s="824"/>
      <c r="AP227" s="824"/>
      <c r="AQ227" s="824"/>
    </row>
    <row r="228" spans="1:43" s="15" customFormat="1" x14ac:dyDescent="0.25">
      <c r="A228" s="102"/>
      <c r="M228" s="16"/>
      <c r="U228" s="215"/>
      <c r="V228" s="824"/>
      <c r="W228" s="824"/>
      <c r="X228" s="824"/>
      <c r="Y228" s="824"/>
      <c r="Z228" s="824"/>
      <c r="AA228" s="824"/>
      <c r="AB228" s="824"/>
      <c r="AC228" s="824"/>
      <c r="AD228" s="824"/>
      <c r="AE228" s="824"/>
      <c r="AF228" s="824"/>
      <c r="AG228" s="824"/>
      <c r="AH228" s="824"/>
      <c r="AI228" s="824"/>
      <c r="AJ228" s="824"/>
      <c r="AK228" s="824"/>
      <c r="AL228" s="824"/>
      <c r="AM228" s="824"/>
      <c r="AN228" s="824"/>
      <c r="AO228" s="824"/>
      <c r="AP228" s="824"/>
      <c r="AQ228" s="824"/>
    </row>
    <row r="229" spans="1:43" s="15" customFormat="1" x14ac:dyDescent="0.25">
      <c r="A229" s="102"/>
      <c r="M229" s="16"/>
      <c r="U229" s="215"/>
      <c r="V229" s="824"/>
      <c r="W229" s="824"/>
      <c r="X229" s="824"/>
      <c r="Y229" s="824"/>
      <c r="Z229" s="824"/>
      <c r="AA229" s="824"/>
      <c r="AB229" s="824"/>
      <c r="AC229" s="824"/>
      <c r="AD229" s="824"/>
      <c r="AE229" s="824"/>
      <c r="AF229" s="824"/>
      <c r="AG229" s="824"/>
      <c r="AH229" s="824"/>
      <c r="AI229" s="824"/>
      <c r="AJ229" s="824"/>
      <c r="AK229" s="824"/>
      <c r="AL229" s="824"/>
      <c r="AM229" s="824"/>
      <c r="AN229" s="824"/>
      <c r="AO229" s="824"/>
      <c r="AP229" s="824"/>
      <c r="AQ229" s="824"/>
    </row>
    <row r="230" spans="1:43" s="15" customFormat="1" x14ac:dyDescent="0.25">
      <c r="A230" s="102"/>
      <c r="M230" s="16"/>
      <c r="U230" s="215"/>
      <c r="V230" s="824"/>
      <c r="W230" s="824"/>
      <c r="X230" s="824"/>
      <c r="Y230" s="824"/>
      <c r="Z230" s="824"/>
      <c r="AA230" s="824"/>
      <c r="AB230" s="824"/>
      <c r="AC230" s="824"/>
      <c r="AD230" s="824"/>
      <c r="AE230" s="824"/>
      <c r="AF230" s="824"/>
      <c r="AG230" s="824"/>
      <c r="AH230" s="824"/>
      <c r="AI230" s="824"/>
      <c r="AJ230" s="824"/>
      <c r="AK230" s="824"/>
      <c r="AL230" s="824"/>
      <c r="AM230" s="824"/>
      <c r="AN230" s="824"/>
      <c r="AO230" s="824"/>
      <c r="AP230" s="824"/>
      <c r="AQ230" s="824"/>
    </row>
    <row r="231" spans="1:43" s="15" customFormat="1" x14ac:dyDescent="0.25">
      <c r="A231" s="102"/>
      <c r="M231" s="16"/>
      <c r="U231" s="215"/>
      <c r="V231" s="824"/>
      <c r="W231" s="824"/>
      <c r="X231" s="824"/>
      <c r="Y231" s="824"/>
      <c r="Z231" s="824"/>
      <c r="AA231" s="824"/>
      <c r="AB231" s="824"/>
      <c r="AC231" s="824"/>
      <c r="AD231" s="824"/>
      <c r="AE231" s="824"/>
      <c r="AF231" s="824"/>
      <c r="AG231" s="824"/>
      <c r="AH231" s="824"/>
      <c r="AI231" s="824"/>
      <c r="AJ231" s="824"/>
      <c r="AK231" s="824"/>
      <c r="AL231" s="824"/>
      <c r="AM231" s="824"/>
      <c r="AN231" s="824"/>
      <c r="AO231" s="824"/>
      <c r="AP231" s="824"/>
      <c r="AQ231" s="824"/>
    </row>
    <row r="232" spans="1:43" s="15" customFormat="1" x14ac:dyDescent="0.25">
      <c r="A232" s="102"/>
      <c r="M232" s="16"/>
      <c r="U232" s="215"/>
      <c r="V232" s="824"/>
      <c r="W232" s="824"/>
      <c r="X232" s="824"/>
      <c r="Y232" s="824"/>
      <c r="Z232" s="824"/>
      <c r="AA232" s="824"/>
      <c r="AB232" s="824"/>
      <c r="AC232" s="824"/>
      <c r="AD232" s="824"/>
      <c r="AE232" s="824"/>
      <c r="AF232" s="824"/>
      <c r="AG232" s="824"/>
      <c r="AH232" s="824"/>
      <c r="AI232" s="824"/>
      <c r="AJ232" s="824"/>
      <c r="AK232" s="824"/>
      <c r="AL232" s="824"/>
      <c r="AM232" s="824"/>
      <c r="AN232" s="824"/>
      <c r="AO232" s="824"/>
      <c r="AP232" s="824"/>
      <c r="AQ232" s="824"/>
    </row>
    <row r="233" spans="1:43" s="15" customFormat="1" x14ac:dyDescent="0.25">
      <c r="A233" s="102"/>
      <c r="M233" s="16"/>
      <c r="U233" s="215"/>
      <c r="V233" s="824"/>
      <c r="W233" s="824"/>
      <c r="X233" s="824"/>
      <c r="Y233" s="824"/>
      <c r="Z233" s="824"/>
      <c r="AA233" s="824"/>
      <c r="AB233" s="824"/>
      <c r="AC233" s="824"/>
      <c r="AD233" s="824"/>
      <c r="AE233" s="824"/>
      <c r="AF233" s="824"/>
      <c r="AG233" s="824"/>
      <c r="AH233" s="824"/>
      <c r="AI233" s="824"/>
      <c r="AJ233" s="824"/>
      <c r="AK233" s="824"/>
      <c r="AL233" s="824"/>
      <c r="AM233" s="824"/>
      <c r="AN233" s="824"/>
      <c r="AO233" s="824"/>
      <c r="AP233" s="824"/>
      <c r="AQ233" s="824"/>
    </row>
    <row r="234" spans="1:43" s="15" customFormat="1" x14ac:dyDescent="0.25">
      <c r="A234" s="102"/>
      <c r="M234" s="16"/>
      <c r="U234" s="215"/>
      <c r="V234" s="824"/>
      <c r="W234" s="824"/>
      <c r="X234" s="824"/>
      <c r="Y234" s="824"/>
      <c r="Z234" s="824"/>
      <c r="AA234" s="824"/>
      <c r="AB234" s="824"/>
      <c r="AC234" s="824"/>
      <c r="AD234" s="824"/>
      <c r="AE234" s="824"/>
      <c r="AF234" s="824"/>
      <c r="AG234" s="824"/>
      <c r="AH234" s="824"/>
      <c r="AI234" s="824"/>
      <c r="AJ234" s="824"/>
      <c r="AK234" s="824"/>
      <c r="AL234" s="824"/>
      <c r="AM234" s="824"/>
      <c r="AN234" s="824"/>
      <c r="AO234" s="824"/>
      <c r="AP234" s="824"/>
      <c r="AQ234" s="824"/>
    </row>
    <row r="235" spans="1:43" s="15" customFormat="1" x14ac:dyDescent="0.25">
      <c r="A235" s="102"/>
      <c r="M235" s="16"/>
      <c r="U235" s="215"/>
      <c r="V235" s="824"/>
      <c r="W235" s="824"/>
      <c r="X235" s="824"/>
      <c r="Y235" s="824"/>
      <c r="Z235" s="824"/>
      <c r="AA235" s="824"/>
      <c r="AB235" s="824"/>
      <c r="AC235" s="824"/>
      <c r="AD235" s="824"/>
      <c r="AE235" s="824"/>
      <c r="AF235" s="824"/>
      <c r="AG235" s="824"/>
      <c r="AH235" s="824"/>
      <c r="AI235" s="824"/>
      <c r="AJ235" s="824"/>
      <c r="AK235" s="824"/>
      <c r="AL235" s="824"/>
      <c r="AM235" s="824"/>
      <c r="AN235" s="824"/>
      <c r="AO235" s="824"/>
      <c r="AP235" s="824"/>
      <c r="AQ235" s="824"/>
    </row>
    <row r="236" spans="1:43" s="15" customFormat="1" x14ac:dyDescent="0.25">
      <c r="A236" s="102"/>
      <c r="M236" s="16"/>
      <c r="U236" s="215"/>
      <c r="V236" s="824"/>
      <c r="W236" s="824"/>
      <c r="X236" s="824"/>
      <c r="Y236" s="824"/>
      <c r="Z236" s="824"/>
      <c r="AA236" s="824"/>
      <c r="AB236" s="824"/>
      <c r="AC236" s="824"/>
      <c r="AD236" s="824"/>
      <c r="AE236" s="824"/>
      <c r="AF236" s="824"/>
      <c r="AG236" s="824"/>
      <c r="AH236" s="824"/>
      <c r="AI236" s="824"/>
      <c r="AJ236" s="824"/>
      <c r="AK236" s="824"/>
      <c r="AL236" s="824"/>
      <c r="AM236" s="824"/>
      <c r="AN236" s="824"/>
      <c r="AO236" s="824"/>
      <c r="AP236" s="824"/>
      <c r="AQ236" s="824"/>
    </row>
    <row r="237" spans="1:43" s="15" customFormat="1" x14ac:dyDescent="0.25">
      <c r="A237" s="102"/>
      <c r="M237" s="16"/>
      <c r="U237" s="215"/>
      <c r="V237" s="824"/>
      <c r="W237" s="824"/>
      <c r="X237" s="824"/>
      <c r="Y237" s="824"/>
      <c r="Z237" s="824"/>
      <c r="AA237" s="824"/>
      <c r="AB237" s="824"/>
      <c r="AC237" s="824"/>
      <c r="AD237" s="824"/>
      <c r="AE237" s="824"/>
      <c r="AF237" s="824"/>
      <c r="AG237" s="824"/>
      <c r="AH237" s="824"/>
      <c r="AI237" s="824"/>
      <c r="AJ237" s="824"/>
      <c r="AK237" s="824"/>
      <c r="AL237" s="824"/>
      <c r="AM237" s="824"/>
      <c r="AN237" s="824"/>
      <c r="AO237" s="824"/>
      <c r="AP237" s="824"/>
      <c r="AQ237" s="824"/>
    </row>
    <row r="238" spans="1:43" s="15" customFormat="1" x14ac:dyDescent="0.25">
      <c r="A238" s="102"/>
      <c r="M238" s="16"/>
      <c r="U238" s="215"/>
      <c r="V238" s="824"/>
      <c r="W238" s="824"/>
      <c r="X238" s="824"/>
      <c r="Y238" s="824"/>
      <c r="Z238" s="824"/>
      <c r="AA238" s="824"/>
      <c r="AB238" s="824"/>
      <c r="AC238" s="824"/>
      <c r="AD238" s="824"/>
      <c r="AE238" s="824"/>
      <c r="AF238" s="824"/>
      <c r="AG238" s="824"/>
      <c r="AH238" s="824"/>
      <c r="AI238" s="824"/>
      <c r="AJ238" s="824"/>
      <c r="AK238" s="824"/>
      <c r="AL238" s="824"/>
      <c r="AM238" s="824"/>
      <c r="AN238" s="824"/>
      <c r="AO238" s="824"/>
      <c r="AP238" s="824"/>
      <c r="AQ238" s="824"/>
    </row>
    <row r="239" spans="1:43" s="15" customFormat="1" x14ac:dyDescent="0.25">
      <c r="A239" s="102"/>
      <c r="M239" s="16"/>
      <c r="U239" s="215"/>
      <c r="V239" s="824"/>
      <c r="W239" s="824"/>
      <c r="X239" s="824"/>
      <c r="Y239" s="824"/>
      <c r="Z239" s="824"/>
      <c r="AA239" s="824"/>
      <c r="AB239" s="824"/>
      <c r="AC239" s="824"/>
      <c r="AD239" s="824"/>
      <c r="AE239" s="824"/>
      <c r="AF239" s="824"/>
      <c r="AG239" s="824"/>
      <c r="AH239" s="824"/>
      <c r="AI239" s="824"/>
      <c r="AJ239" s="824"/>
      <c r="AK239" s="824"/>
      <c r="AL239" s="824"/>
      <c r="AM239" s="824"/>
      <c r="AN239" s="824"/>
      <c r="AO239" s="824"/>
      <c r="AP239" s="824"/>
      <c r="AQ239" s="824"/>
    </row>
    <row r="240" spans="1:43" s="15" customFormat="1" x14ac:dyDescent="0.25">
      <c r="A240" s="102"/>
      <c r="M240" s="16"/>
      <c r="U240" s="215"/>
      <c r="V240" s="824"/>
      <c r="W240" s="824"/>
      <c r="X240" s="824"/>
      <c r="Y240" s="824"/>
      <c r="Z240" s="824"/>
      <c r="AA240" s="824"/>
      <c r="AB240" s="824"/>
      <c r="AC240" s="824"/>
      <c r="AD240" s="824"/>
      <c r="AE240" s="824"/>
      <c r="AF240" s="824"/>
      <c r="AG240" s="824"/>
      <c r="AH240" s="824"/>
      <c r="AI240" s="824"/>
      <c r="AJ240" s="824"/>
      <c r="AK240" s="824"/>
      <c r="AL240" s="824"/>
      <c r="AM240" s="824"/>
      <c r="AN240" s="824"/>
      <c r="AO240" s="824"/>
      <c r="AP240" s="824"/>
      <c r="AQ240" s="824"/>
    </row>
    <row r="241" spans="1:43" s="15" customFormat="1" x14ac:dyDescent="0.25">
      <c r="A241" s="102"/>
      <c r="M241" s="16"/>
      <c r="U241" s="215"/>
      <c r="V241" s="824"/>
      <c r="W241" s="824"/>
      <c r="X241" s="824"/>
      <c r="Y241" s="824"/>
      <c r="Z241" s="824"/>
      <c r="AA241" s="824"/>
      <c r="AB241" s="824"/>
      <c r="AC241" s="824"/>
      <c r="AD241" s="824"/>
      <c r="AE241" s="824"/>
      <c r="AF241" s="824"/>
      <c r="AG241" s="824"/>
      <c r="AH241" s="824"/>
      <c r="AI241" s="824"/>
      <c r="AJ241" s="824"/>
      <c r="AK241" s="824"/>
      <c r="AL241" s="824"/>
      <c r="AM241" s="824"/>
      <c r="AN241" s="824"/>
      <c r="AO241" s="824"/>
      <c r="AP241" s="824"/>
      <c r="AQ241" s="824"/>
    </row>
    <row r="242" spans="1:43" s="15" customFormat="1" x14ac:dyDescent="0.25">
      <c r="A242" s="102"/>
      <c r="M242" s="16"/>
      <c r="U242" s="215"/>
      <c r="V242" s="824"/>
      <c r="W242" s="824"/>
      <c r="X242" s="824"/>
      <c r="Y242" s="824"/>
      <c r="Z242" s="824"/>
      <c r="AA242" s="824"/>
      <c r="AB242" s="824"/>
      <c r="AC242" s="824"/>
      <c r="AD242" s="824"/>
      <c r="AE242" s="824"/>
      <c r="AF242" s="824"/>
      <c r="AG242" s="824"/>
      <c r="AH242" s="824"/>
      <c r="AI242" s="824"/>
      <c r="AJ242" s="824"/>
      <c r="AK242" s="824"/>
      <c r="AL242" s="824"/>
      <c r="AM242" s="824"/>
      <c r="AN242" s="824"/>
      <c r="AO242" s="824"/>
      <c r="AP242" s="824"/>
      <c r="AQ242" s="824"/>
    </row>
    <row r="243" spans="1:43" s="15" customFormat="1" x14ac:dyDescent="0.25">
      <c r="A243" s="102"/>
      <c r="M243" s="16"/>
      <c r="U243" s="215"/>
      <c r="V243" s="824"/>
      <c r="W243" s="824"/>
      <c r="X243" s="824"/>
      <c r="Y243" s="824"/>
      <c r="Z243" s="824"/>
      <c r="AA243" s="824"/>
      <c r="AB243" s="824"/>
      <c r="AC243" s="824"/>
      <c r="AD243" s="824"/>
      <c r="AE243" s="824"/>
      <c r="AF243" s="824"/>
      <c r="AG243" s="824"/>
      <c r="AH243" s="824"/>
      <c r="AI243" s="824"/>
      <c r="AJ243" s="824"/>
      <c r="AK243" s="824"/>
      <c r="AL243" s="824"/>
      <c r="AM243" s="824"/>
      <c r="AN243" s="824"/>
      <c r="AO243" s="824"/>
      <c r="AP243" s="824"/>
      <c r="AQ243" s="824"/>
    </row>
    <row r="244" spans="1:43" s="15" customFormat="1" x14ac:dyDescent="0.25">
      <c r="A244" s="102"/>
      <c r="M244" s="16"/>
      <c r="U244" s="215"/>
      <c r="V244" s="824"/>
      <c r="W244" s="824"/>
      <c r="X244" s="824"/>
      <c r="Y244" s="824"/>
      <c r="Z244" s="824"/>
      <c r="AA244" s="824"/>
      <c r="AB244" s="824"/>
      <c r="AC244" s="824"/>
      <c r="AD244" s="824"/>
      <c r="AE244" s="824"/>
      <c r="AF244" s="824"/>
      <c r="AG244" s="824"/>
      <c r="AH244" s="824"/>
      <c r="AI244" s="824"/>
      <c r="AJ244" s="824"/>
      <c r="AK244" s="824"/>
      <c r="AL244" s="824"/>
      <c r="AM244" s="824"/>
      <c r="AN244" s="824"/>
      <c r="AO244" s="824"/>
      <c r="AP244" s="824"/>
      <c r="AQ244" s="824"/>
    </row>
    <row r="245" spans="1:43" s="15" customFormat="1" x14ac:dyDescent="0.25">
      <c r="A245" s="102"/>
      <c r="M245" s="16"/>
      <c r="U245" s="215"/>
      <c r="V245" s="824"/>
      <c r="W245" s="824"/>
      <c r="X245" s="824"/>
      <c r="Y245" s="824"/>
      <c r="Z245" s="824"/>
      <c r="AA245" s="824"/>
      <c r="AB245" s="824"/>
      <c r="AC245" s="824"/>
      <c r="AD245" s="824"/>
      <c r="AE245" s="824"/>
      <c r="AF245" s="824"/>
      <c r="AG245" s="824"/>
      <c r="AH245" s="824"/>
      <c r="AI245" s="824"/>
      <c r="AJ245" s="824"/>
      <c r="AK245" s="824"/>
      <c r="AL245" s="824"/>
      <c r="AM245" s="824"/>
      <c r="AN245" s="824"/>
      <c r="AO245" s="824"/>
      <c r="AP245" s="824"/>
      <c r="AQ245" s="824"/>
    </row>
    <row r="246" spans="1:43" s="15" customFormat="1" x14ac:dyDescent="0.25">
      <c r="A246" s="102"/>
      <c r="M246" s="16"/>
      <c r="U246" s="215"/>
      <c r="V246" s="824"/>
      <c r="W246" s="824"/>
      <c r="X246" s="824"/>
      <c r="Y246" s="824"/>
      <c r="Z246" s="824"/>
      <c r="AA246" s="824"/>
      <c r="AB246" s="824"/>
      <c r="AC246" s="824"/>
      <c r="AD246" s="824"/>
      <c r="AE246" s="824"/>
      <c r="AF246" s="824"/>
      <c r="AG246" s="824"/>
      <c r="AH246" s="824"/>
      <c r="AI246" s="824"/>
      <c r="AJ246" s="824"/>
      <c r="AK246" s="824"/>
      <c r="AL246" s="824"/>
      <c r="AM246" s="824"/>
      <c r="AN246" s="824"/>
      <c r="AO246" s="824"/>
      <c r="AP246" s="824"/>
      <c r="AQ246" s="824"/>
    </row>
    <row r="247" spans="1:43" s="15" customFormat="1" x14ac:dyDescent="0.25">
      <c r="A247" s="102"/>
      <c r="M247" s="16"/>
      <c r="U247" s="215"/>
      <c r="V247" s="824"/>
      <c r="W247" s="824"/>
      <c r="X247" s="824"/>
      <c r="Y247" s="824"/>
      <c r="Z247" s="824"/>
      <c r="AA247" s="824"/>
      <c r="AB247" s="824"/>
      <c r="AC247" s="824"/>
      <c r="AD247" s="824"/>
      <c r="AE247" s="824"/>
      <c r="AF247" s="824"/>
      <c r="AG247" s="824"/>
      <c r="AH247" s="824"/>
      <c r="AI247" s="824"/>
      <c r="AJ247" s="824"/>
      <c r="AK247" s="824"/>
      <c r="AL247" s="824"/>
      <c r="AM247" s="824"/>
      <c r="AN247" s="824"/>
      <c r="AO247" s="824"/>
      <c r="AP247" s="824"/>
      <c r="AQ247" s="824"/>
    </row>
    <row r="248" spans="1:43" s="15" customFormat="1" x14ac:dyDescent="0.25">
      <c r="A248" s="102"/>
      <c r="M248" s="16"/>
      <c r="U248" s="215"/>
      <c r="V248" s="824"/>
      <c r="W248" s="824"/>
      <c r="X248" s="824"/>
      <c r="Y248" s="824"/>
      <c r="Z248" s="824"/>
      <c r="AA248" s="824"/>
      <c r="AB248" s="824"/>
      <c r="AC248" s="824"/>
      <c r="AD248" s="824"/>
      <c r="AE248" s="824"/>
      <c r="AF248" s="824"/>
      <c r="AG248" s="824"/>
      <c r="AH248" s="824"/>
      <c r="AI248" s="824"/>
      <c r="AJ248" s="824"/>
      <c r="AK248" s="824"/>
      <c r="AL248" s="824"/>
      <c r="AM248" s="824"/>
      <c r="AN248" s="824"/>
      <c r="AO248" s="824"/>
      <c r="AP248" s="824"/>
      <c r="AQ248" s="824"/>
    </row>
    <row r="249" spans="1:43" s="15" customFormat="1" x14ac:dyDescent="0.25">
      <c r="A249" s="102"/>
      <c r="M249" s="16"/>
      <c r="U249" s="215"/>
      <c r="V249" s="824"/>
      <c r="W249" s="824"/>
      <c r="X249" s="824"/>
      <c r="Y249" s="824"/>
      <c r="Z249" s="824"/>
      <c r="AA249" s="824"/>
      <c r="AB249" s="824"/>
      <c r="AC249" s="824"/>
      <c r="AD249" s="824"/>
      <c r="AE249" s="824"/>
      <c r="AF249" s="824"/>
      <c r="AG249" s="824"/>
      <c r="AH249" s="824"/>
      <c r="AI249" s="824"/>
      <c r="AJ249" s="824"/>
      <c r="AK249" s="824"/>
      <c r="AL249" s="824"/>
      <c r="AM249" s="824"/>
      <c r="AN249" s="824"/>
      <c r="AO249" s="824"/>
      <c r="AP249" s="824"/>
      <c r="AQ249" s="824"/>
    </row>
    <row r="250" spans="1:43" s="15" customFormat="1" x14ac:dyDescent="0.25">
      <c r="A250" s="102"/>
      <c r="M250" s="16"/>
      <c r="U250" s="215"/>
      <c r="V250" s="824"/>
      <c r="W250" s="824"/>
      <c r="X250" s="824"/>
      <c r="Y250" s="824"/>
      <c r="Z250" s="824"/>
      <c r="AA250" s="824"/>
      <c r="AB250" s="824"/>
      <c r="AC250" s="824"/>
      <c r="AD250" s="824"/>
      <c r="AE250" s="824"/>
      <c r="AF250" s="824"/>
      <c r="AG250" s="824"/>
      <c r="AH250" s="824"/>
      <c r="AI250" s="824"/>
      <c r="AJ250" s="824"/>
      <c r="AK250" s="824"/>
      <c r="AL250" s="824"/>
      <c r="AM250" s="824"/>
      <c r="AN250" s="824"/>
      <c r="AO250" s="824"/>
      <c r="AP250" s="824"/>
      <c r="AQ250" s="824"/>
    </row>
    <row r="251" spans="1:43" s="15" customFormat="1" x14ac:dyDescent="0.25">
      <c r="A251" s="102"/>
      <c r="M251" s="16"/>
      <c r="U251" s="215"/>
      <c r="V251" s="824"/>
      <c r="W251" s="824"/>
      <c r="X251" s="824"/>
      <c r="Y251" s="824"/>
      <c r="Z251" s="824"/>
      <c r="AA251" s="824"/>
      <c r="AB251" s="824"/>
      <c r="AC251" s="824"/>
      <c r="AD251" s="824"/>
      <c r="AE251" s="824"/>
      <c r="AF251" s="824"/>
      <c r="AG251" s="824"/>
      <c r="AH251" s="824"/>
      <c r="AI251" s="824"/>
      <c r="AJ251" s="824"/>
      <c r="AK251" s="824"/>
      <c r="AL251" s="824"/>
      <c r="AM251" s="824"/>
      <c r="AN251" s="824"/>
      <c r="AO251" s="824"/>
      <c r="AP251" s="824"/>
      <c r="AQ251" s="824"/>
    </row>
    <row r="252" spans="1:43" s="15" customFormat="1" x14ac:dyDescent="0.25">
      <c r="A252" s="102"/>
      <c r="M252" s="16"/>
      <c r="U252" s="215"/>
      <c r="V252" s="824"/>
      <c r="W252" s="824"/>
      <c r="X252" s="824"/>
      <c r="Y252" s="824"/>
      <c r="Z252" s="824"/>
      <c r="AA252" s="824"/>
      <c r="AB252" s="824"/>
      <c r="AC252" s="824"/>
      <c r="AD252" s="824"/>
      <c r="AE252" s="824"/>
      <c r="AF252" s="824"/>
      <c r="AG252" s="824"/>
      <c r="AH252" s="824"/>
      <c r="AI252" s="824"/>
      <c r="AJ252" s="824"/>
      <c r="AK252" s="824"/>
      <c r="AL252" s="824"/>
      <c r="AM252" s="824"/>
      <c r="AN252" s="824"/>
      <c r="AO252" s="824"/>
      <c r="AP252" s="824"/>
      <c r="AQ252" s="824"/>
    </row>
    <row r="253" spans="1:43" s="15" customFormat="1" x14ac:dyDescent="0.25">
      <c r="A253" s="102"/>
      <c r="M253" s="16"/>
      <c r="U253" s="215"/>
      <c r="V253" s="824"/>
      <c r="W253" s="824"/>
      <c r="X253" s="824"/>
      <c r="Y253" s="824"/>
      <c r="Z253" s="824"/>
      <c r="AA253" s="824"/>
      <c r="AB253" s="824"/>
      <c r="AC253" s="824"/>
      <c r="AD253" s="824"/>
      <c r="AE253" s="824"/>
      <c r="AF253" s="824"/>
      <c r="AG253" s="824"/>
      <c r="AH253" s="824"/>
      <c r="AI253" s="824"/>
      <c r="AJ253" s="824"/>
      <c r="AK253" s="824"/>
      <c r="AL253" s="824"/>
      <c r="AM253" s="824"/>
      <c r="AN253" s="824"/>
      <c r="AO253" s="824"/>
      <c r="AP253" s="824"/>
      <c r="AQ253" s="824"/>
    </row>
    <row r="254" spans="1:43" s="15" customFormat="1" x14ac:dyDescent="0.25">
      <c r="A254" s="102"/>
      <c r="M254" s="16"/>
      <c r="U254" s="215"/>
      <c r="V254" s="824"/>
      <c r="W254" s="824"/>
      <c r="X254" s="824"/>
      <c r="Y254" s="824"/>
      <c r="Z254" s="824"/>
      <c r="AA254" s="824"/>
      <c r="AB254" s="824"/>
      <c r="AC254" s="824"/>
      <c r="AD254" s="824"/>
      <c r="AE254" s="824"/>
      <c r="AF254" s="824"/>
      <c r="AG254" s="824"/>
      <c r="AH254" s="824"/>
      <c r="AI254" s="824"/>
      <c r="AJ254" s="824"/>
      <c r="AK254" s="824"/>
      <c r="AL254" s="824"/>
      <c r="AM254" s="824"/>
      <c r="AN254" s="824"/>
      <c r="AO254" s="824"/>
      <c r="AP254" s="824"/>
      <c r="AQ254" s="824"/>
    </row>
    <row r="255" spans="1:43" s="15" customFormat="1" x14ac:dyDescent="0.25">
      <c r="A255" s="102"/>
      <c r="M255" s="16"/>
      <c r="U255" s="215"/>
      <c r="V255" s="824"/>
      <c r="W255" s="824"/>
      <c r="X255" s="824"/>
      <c r="Y255" s="824"/>
      <c r="Z255" s="824"/>
      <c r="AA255" s="824"/>
      <c r="AB255" s="824"/>
      <c r="AC255" s="824"/>
      <c r="AD255" s="824"/>
      <c r="AE255" s="824"/>
      <c r="AF255" s="824"/>
      <c r="AG255" s="824"/>
      <c r="AH255" s="824"/>
      <c r="AI255" s="824"/>
      <c r="AJ255" s="824"/>
      <c r="AK255" s="824"/>
      <c r="AL255" s="824"/>
      <c r="AM255" s="824"/>
      <c r="AN255" s="824"/>
      <c r="AO255" s="824"/>
      <c r="AP255" s="824"/>
      <c r="AQ255" s="824"/>
    </row>
    <row r="256" spans="1:43" s="15" customFormat="1" x14ac:dyDescent="0.25">
      <c r="A256" s="102"/>
      <c r="M256" s="16"/>
      <c r="U256" s="215"/>
      <c r="V256" s="824"/>
      <c r="W256" s="824"/>
      <c r="X256" s="824"/>
      <c r="Y256" s="824"/>
      <c r="Z256" s="824"/>
      <c r="AA256" s="824"/>
      <c r="AB256" s="824"/>
      <c r="AC256" s="824"/>
      <c r="AD256" s="824"/>
      <c r="AE256" s="824"/>
      <c r="AF256" s="824"/>
      <c r="AG256" s="824"/>
      <c r="AH256" s="824"/>
      <c r="AI256" s="824"/>
      <c r="AJ256" s="824"/>
      <c r="AK256" s="824"/>
      <c r="AL256" s="824"/>
      <c r="AM256" s="824"/>
      <c r="AN256" s="824"/>
      <c r="AO256" s="824"/>
      <c r="AP256" s="824"/>
      <c r="AQ256" s="824"/>
    </row>
    <row r="257" spans="1:43" s="15" customFormat="1" x14ac:dyDescent="0.25">
      <c r="A257" s="102"/>
      <c r="M257" s="16"/>
      <c r="U257" s="215"/>
      <c r="V257" s="824"/>
      <c r="W257" s="824"/>
      <c r="X257" s="824"/>
      <c r="Y257" s="824"/>
      <c r="Z257" s="824"/>
      <c r="AA257" s="824"/>
      <c r="AB257" s="824"/>
      <c r="AC257" s="824"/>
      <c r="AD257" s="824"/>
      <c r="AE257" s="824"/>
      <c r="AF257" s="824"/>
      <c r="AG257" s="824"/>
      <c r="AH257" s="824"/>
      <c r="AI257" s="824"/>
      <c r="AJ257" s="824"/>
      <c r="AK257" s="824"/>
      <c r="AL257" s="824"/>
      <c r="AM257" s="824"/>
      <c r="AN257" s="824"/>
      <c r="AO257" s="824"/>
      <c r="AP257" s="824"/>
      <c r="AQ257" s="824"/>
    </row>
    <row r="258" spans="1:43" s="15" customFormat="1" x14ac:dyDescent="0.25">
      <c r="A258" s="102"/>
      <c r="M258" s="16"/>
      <c r="U258" s="215"/>
      <c r="V258" s="824"/>
      <c r="W258" s="824"/>
      <c r="X258" s="824"/>
      <c r="Y258" s="824"/>
      <c r="Z258" s="824"/>
      <c r="AA258" s="824"/>
      <c r="AB258" s="824"/>
      <c r="AC258" s="824"/>
      <c r="AD258" s="824"/>
      <c r="AE258" s="824"/>
      <c r="AF258" s="824"/>
      <c r="AG258" s="824"/>
      <c r="AH258" s="824"/>
      <c r="AI258" s="824"/>
      <c r="AJ258" s="824"/>
      <c r="AK258" s="824"/>
      <c r="AL258" s="824"/>
      <c r="AM258" s="824"/>
      <c r="AN258" s="824"/>
      <c r="AO258" s="824"/>
      <c r="AP258" s="824"/>
      <c r="AQ258" s="824"/>
    </row>
    <row r="259" spans="1:43" s="15" customFormat="1" x14ac:dyDescent="0.25">
      <c r="A259" s="102"/>
      <c r="M259" s="16"/>
      <c r="U259" s="215"/>
      <c r="V259" s="824"/>
      <c r="W259" s="824"/>
      <c r="X259" s="824"/>
      <c r="Y259" s="824"/>
      <c r="Z259" s="824"/>
      <c r="AA259" s="824"/>
      <c r="AB259" s="824"/>
      <c r="AC259" s="824"/>
      <c r="AD259" s="824"/>
      <c r="AE259" s="824"/>
      <c r="AF259" s="824"/>
      <c r="AG259" s="824"/>
      <c r="AH259" s="824"/>
      <c r="AI259" s="824"/>
      <c r="AJ259" s="824"/>
      <c r="AK259" s="824"/>
      <c r="AL259" s="824"/>
      <c r="AM259" s="824"/>
      <c r="AN259" s="824"/>
      <c r="AO259" s="824"/>
      <c r="AP259" s="824"/>
      <c r="AQ259" s="824"/>
    </row>
    <row r="260" spans="1:43" s="15" customFormat="1" x14ac:dyDescent="0.25">
      <c r="A260" s="102"/>
      <c r="M260" s="16"/>
      <c r="U260" s="215"/>
      <c r="V260" s="824"/>
      <c r="W260" s="824"/>
      <c r="X260" s="824"/>
      <c r="Y260" s="824"/>
      <c r="Z260" s="824"/>
      <c r="AA260" s="824"/>
      <c r="AB260" s="824"/>
      <c r="AC260" s="824"/>
      <c r="AD260" s="824"/>
      <c r="AE260" s="824"/>
      <c r="AF260" s="824"/>
      <c r="AG260" s="824"/>
      <c r="AH260" s="824"/>
      <c r="AI260" s="824"/>
      <c r="AJ260" s="824"/>
      <c r="AK260" s="824"/>
      <c r="AL260" s="824"/>
      <c r="AM260" s="824"/>
      <c r="AN260" s="824"/>
      <c r="AO260" s="824"/>
      <c r="AP260" s="824"/>
      <c r="AQ260" s="824"/>
    </row>
    <row r="261" spans="1:43" s="15" customFormat="1" x14ac:dyDescent="0.25">
      <c r="A261" s="102"/>
      <c r="M261" s="16"/>
      <c r="U261" s="215"/>
      <c r="V261" s="824"/>
      <c r="W261" s="824"/>
      <c r="X261" s="824"/>
      <c r="Y261" s="824"/>
      <c r="Z261" s="824"/>
      <c r="AA261" s="824"/>
      <c r="AB261" s="824"/>
      <c r="AC261" s="824"/>
      <c r="AD261" s="824"/>
      <c r="AE261" s="824"/>
      <c r="AF261" s="824"/>
      <c r="AG261" s="824"/>
      <c r="AH261" s="824"/>
      <c r="AI261" s="824"/>
      <c r="AJ261" s="824"/>
      <c r="AK261" s="824"/>
      <c r="AL261" s="824"/>
      <c r="AM261" s="824"/>
      <c r="AN261" s="824"/>
      <c r="AO261" s="824"/>
      <c r="AP261" s="824"/>
      <c r="AQ261" s="824"/>
    </row>
    <row r="262" spans="1:43" s="15" customFormat="1" x14ac:dyDescent="0.25">
      <c r="A262" s="102"/>
      <c r="M262" s="16"/>
      <c r="U262" s="215"/>
      <c r="V262" s="824"/>
      <c r="W262" s="824"/>
      <c r="X262" s="824"/>
      <c r="Y262" s="824"/>
      <c r="Z262" s="824"/>
      <c r="AA262" s="824"/>
      <c r="AB262" s="824"/>
      <c r="AC262" s="824"/>
      <c r="AD262" s="824"/>
      <c r="AE262" s="824"/>
      <c r="AF262" s="824"/>
      <c r="AG262" s="824"/>
      <c r="AH262" s="824"/>
      <c r="AI262" s="824"/>
      <c r="AJ262" s="824"/>
      <c r="AK262" s="824"/>
      <c r="AL262" s="824"/>
      <c r="AM262" s="824"/>
      <c r="AN262" s="824"/>
      <c r="AO262" s="824"/>
      <c r="AP262" s="824"/>
      <c r="AQ262" s="824"/>
    </row>
    <row r="263" spans="1:43" s="15" customFormat="1" x14ac:dyDescent="0.25">
      <c r="A263" s="102"/>
      <c r="M263" s="16"/>
      <c r="U263" s="215"/>
      <c r="V263" s="824"/>
      <c r="W263" s="824"/>
      <c r="X263" s="824"/>
      <c r="Y263" s="824"/>
      <c r="Z263" s="824"/>
      <c r="AA263" s="824"/>
      <c r="AB263" s="824"/>
      <c r="AC263" s="824"/>
      <c r="AD263" s="824"/>
      <c r="AE263" s="824"/>
      <c r="AF263" s="824"/>
      <c r="AG263" s="824"/>
      <c r="AH263" s="824"/>
      <c r="AI263" s="824"/>
      <c r="AJ263" s="824"/>
      <c r="AK263" s="824"/>
      <c r="AL263" s="824"/>
      <c r="AM263" s="824"/>
      <c r="AN263" s="824"/>
      <c r="AO263" s="824"/>
      <c r="AP263" s="824"/>
      <c r="AQ263" s="824"/>
    </row>
    <row r="264" spans="1:43" s="15" customFormat="1" x14ac:dyDescent="0.25">
      <c r="A264" s="102"/>
      <c r="M264" s="16"/>
      <c r="U264" s="215"/>
      <c r="V264" s="824"/>
      <c r="W264" s="824"/>
      <c r="X264" s="824"/>
      <c r="Y264" s="824"/>
      <c r="Z264" s="824"/>
      <c r="AA264" s="824"/>
      <c r="AB264" s="824"/>
      <c r="AC264" s="824"/>
      <c r="AD264" s="824"/>
      <c r="AE264" s="824"/>
      <c r="AF264" s="824"/>
      <c r="AG264" s="824"/>
      <c r="AH264" s="824"/>
      <c r="AI264" s="824"/>
      <c r="AJ264" s="824"/>
      <c r="AK264" s="824"/>
      <c r="AL264" s="824"/>
      <c r="AM264" s="824"/>
      <c r="AN264" s="824"/>
      <c r="AO264" s="824"/>
      <c r="AP264" s="824"/>
      <c r="AQ264" s="824"/>
    </row>
    <row r="265" spans="1:43" s="15" customFormat="1" x14ac:dyDescent="0.25">
      <c r="A265" s="102"/>
      <c r="M265" s="16"/>
      <c r="U265" s="215"/>
      <c r="V265" s="824"/>
      <c r="W265" s="824"/>
      <c r="X265" s="824"/>
      <c r="Y265" s="824"/>
      <c r="Z265" s="824"/>
      <c r="AA265" s="824"/>
      <c r="AB265" s="824"/>
      <c r="AC265" s="824"/>
      <c r="AD265" s="824"/>
      <c r="AE265" s="824"/>
      <c r="AF265" s="824"/>
      <c r="AG265" s="824"/>
      <c r="AH265" s="824"/>
      <c r="AI265" s="824"/>
      <c r="AJ265" s="824"/>
      <c r="AK265" s="824"/>
      <c r="AL265" s="824"/>
      <c r="AM265" s="824"/>
      <c r="AN265" s="824"/>
      <c r="AO265" s="824"/>
      <c r="AP265" s="824"/>
      <c r="AQ265" s="824"/>
    </row>
    <row r="266" spans="1:43" s="15" customFormat="1" x14ac:dyDescent="0.25">
      <c r="A266" s="102"/>
      <c r="M266" s="16"/>
      <c r="U266" s="215"/>
      <c r="V266" s="824"/>
      <c r="W266" s="824"/>
      <c r="X266" s="824"/>
      <c r="Y266" s="824"/>
      <c r="Z266" s="824"/>
      <c r="AA266" s="824"/>
      <c r="AB266" s="824"/>
      <c r="AC266" s="824"/>
      <c r="AD266" s="824"/>
      <c r="AE266" s="824"/>
      <c r="AF266" s="824"/>
      <c r="AG266" s="824"/>
      <c r="AH266" s="824"/>
      <c r="AI266" s="824"/>
      <c r="AJ266" s="824"/>
      <c r="AK266" s="824"/>
      <c r="AL266" s="824"/>
      <c r="AM266" s="824"/>
      <c r="AN266" s="824"/>
      <c r="AO266" s="824"/>
      <c r="AP266" s="824"/>
      <c r="AQ266" s="824"/>
    </row>
    <row r="267" spans="1:43" s="15" customFormat="1" x14ac:dyDescent="0.25">
      <c r="A267" s="102"/>
      <c r="M267" s="16"/>
      <c r="U267" s="215"/>
      <c r="V267" s="824"/>
      <c r="W267" s="824"/>
      <c r="X267" s="824"/>
      <c r="Y267" s="824"/>
      <c r="Z267" s="824"/>
      <c r="AA267" s="824"/>
      <c r="AB267" s="824"/>
      <c r="AC267" s="824"/>
      <c r="AD267" s="824"/>
      <c r="AE267" s="824"/>
      <c r="AF267" s="824"/>
      <c r="AG267" s="824"/>
      <c r="AH267" s="824"/>
      <c r="AI267" s="824"/>
      <c r="AJ267" s="824"/>
      <c r="AK267" s="824"/>
      <c r="AL267" s="824"/>
      <c r="AM267" s="824"/>
      <c r="AN267" s="824"/>
      <c r="AO267" s="824"/>
      <c r="AP267" s="824"/>
      <c r="AQ267" s="824"/>
    </row>
    <row r="268" spans="1:43" s="15" customFormat="1" x14ac:dyDescent="0.25">
      <c r="A268" s="102"/>
      <c r="M268" s="16"/>
      <c r="U268" s="215"/>
      <c r="V268" s="824"/>
      <c r="W268" s="824"/>
      <c r="X268" s="824"/>
      <c r="Y268" s="824"/>
      <c r="Z268" s="824"/>
      <c r="AA268" s="824"/>
      <c r="AB268" s="824"/>
      <c r="AC268" s="824"/>
      <c r="AD268" s="824"/>
      <c r="AE268" s="824"/>
      <c r="AF268" s="824"/>
      <c r="AG268" s="824"/>
      <c r="AH268" s="824"/>
      <c r="AI268" s="824"/>
      <c r="AJ268" s="824"/>
      <c r="AK268" s="824"/>
      <c r="AL268" s="824"/>
      <c r="AM268" s="824"/>
      <c r="AN268" s="824"/>
      <c r="AO268" s="824"/>
      <c r="AP268" s="824"/>
      <c r="AQ268" s="824"/>
    </row>
    <row r="269" spans="1:43" s="15" customFormat="1" x14ac:dyDescent="0.25">
      <c r="A269" s="102"/>
      <c r="M269" s="16"/>
      <c r="U269" s="215"/>
      <c r="V269" s="824"/>
      <c r="W269" s="824"/>
      <c r="X269" s="824"/>
      <c r="Y269" s="824"/>
      <c r="Z269" s="824"/>
      <c r="AA269" s="824"/>
      <c r="AB269" s="824"/>
      <c r="AC269" s="824"/>
      <c r="AD269" s="824"/>
      <c r="AE269" s="824"/>
      <c r="AF269" s="824"/>
      <c r="AG269" s="824"/>
      <c r="AH269" s="824"/>
      <c r="AI269" s="824"/>
      <c r="AJ269" s="824"/>
      <c r="AK269" s="824"/>
      <c r="AL269" s="824"/>
      <c r="AM269" s="824"/>
      <c r="AN269" s="824"/>
      <c r="AO269" s="824"/>
      <c r="AP269" s="824"/>
      <c r="AQ269" s="824"/>
    </row>
    <row r="270" spans="1:43" s="15" customFormat="1" x14ac:dyDescent="0.25">
      <c r="A270" s="102"/>
      <c r="M270" s="16"/>
      <c r="U270" s="215"/>
      <c r="V270" s="824"/>
      <c r="W270" s="824"/>
      <c r="X270" s="824"/>
      <c r="Y270" s="824"/>
      <c r="Z270" s="824"/>
      <c r="AA270" s="824"/>
      <c r="AB270" s="824"/>
      <c r="AC270" s="824"/>
      <c r="AD270" s="824"/>
      <c r="AE270" s="824"/>
      <c r="AF270" s="824"/>
      <c r="AG270" s="824"/>
      <c r="AH270" s="824"/>
      <c r="AI270" s="824"/>
      <c r="AJ270" s="824"/>
      <c r="AK270" s="824"/>
      <c r="AL270" s="824"/>
      <c r="AM270" s="824"/>
      <c r="AN270" s="824"/>
      <c r="AO270" s="824"/>
      <c r="AP270" s="824"/>
      <c r="AQ270" s="824"/>
    </row>
    <row r="271" spans="1:43" s="15" customFormat="1" x14ac:dyDescent="0.25">
      <c r="A271" s="102"/>
      <c r="M271" s="16"/>
      <c r="U271" s="215"/>
      <c r="V271" s="824"/>
      <c r="W271" s="824"/>
      <c r="X271" s="824"/>
      <c r="Y271" s="824"/>
      <c r="Z271" s="824"/>
      <c r="AA271" s="824"/>
      <c r="AB271" s="824"/>
      <c r="AC271" s="824"/>
      <c r="AD271" s="824"/>
      <c r="AE271" s="824"/>
      <c r="AF271" s="824"/>
      <c r="AG271" s="824"/>
      <c r="AH271" s="824"/>
      <c r="AI271" s="824"/>
      <c r="AJ271" s="824"/>
      <c r="AK271" s="824"/>
      <c r="AL271" s="824"/>
      <c r="AM271" s="824"/>
      <c r="AN271" s="824"/>
      <c r="AO271" s="824"/>
      <c r="AP271" s="824"/>
      <c r="AQ271" s="824"/>
    </row>
    <row r="272" spans="1:43" s="15" customFormat="1" x14ac:dyDescent="0.25">
      <c r="A272" s="102"/>
      <c r="M272" s="16"/>
      <c r="U272" s="215"/>
      <c r="V272" s="824"/>
      <c r="W272" s="824"/>
      <c r="X272" s="824"/>
      <c r="Y272" s="824"/>
      <c r="Z272" s="824"/>
      <c r="AA272" s="824"/>
      <c r="AB272" s="824"/>
      <c r="AC272" s="824"/>
      <c r="AD272" s="824"/>
      <c r="AE272" s="824"/>
      <c r="AF272" s="824"/>
      <c r="AG272" s="824"/>
      <c r="AH272" s="824"/>
      <c r="AI272" s="824"/>
      <c r="AJ272" s="824"/>
      <c r="AK272" s="824"/>
      <c r="AL272" s="824"/>
      <c r="AM272" s="824"/>
      <c r="AN272" s="824"/>
      <c r="AO272" s="824"/>
      <c r="AP272" s="824"/>
      <c r="AQ272" s="824"/>
    </row>
    <row r="273" spans="1:43" s="15" customFormat="1" x14ac:dyDescent="0.25">
      <c r="A273" s="102"/>
      <c r="M273" s="16"/>
      <c r="U273" s="215"/>
      <c r="V273" s="824"/>
      <c r="W273" s="824"/>
      <c r="X273" s="824"/>
      <c r="Y273" s="824"/>
      <c r="Z273" s="824"/>
      <c r="AA273" s="824"/>
      <c r="AB273" s="824"/>
      <c r="AC273" s="824"/>
      <c r="AD273" s="824"/>
      <c r="AE273" s="824"/>
      <c r="AF273" s="824"/>
      <c r="AG273" s="824"/>
      <c r="AH273" s="824"/>
      <c r="AI273" s="824"/>
      <c r="AJ273" s="824"/>
      <c r="AK273" s="824"/>
      <c r="AL273" s="824"/>
      <c r="AM273" s="824"/>
      <c r="AN273" s="824"/>
      <c r="AO273" s="824"/>
      <c r="AP273" s="824"/>
      <c r="AQ273" s="824"/>
    </row>
    <row r="274" spans="1:43" s="15" customFormat="1" x14ac:dyDescent="0.25">
      <c r="A274" s="102"/>
      <c r="M274" s="16"/>
      <c r="U274" s="215"/>
      <c r="V274" s="824"/>
      <c r="W274" s="824"/>
      <c r="X274" s="824"/>
      <c r="Y274" s="824"/>
      <c r="Z274" s="824"/>
      <c r="AA274" s="824"/>
      <c r="AB274" s="824"/>
      <c r="AC274" s="824"/>
      <c r="AD274" s="824"/>
      <c r="AE274" s="824"/>
      <c r="AF274" s="824"/>
      <c r="AG274" s="824"/>
      <c r="AH274" s="824"/>
      <c r="AI274" s="824"/>
      <c r="AJ274" s="824"/>
      <c r="AK274" s="824"/>
      <c r="AL274" s="824"/>
      <c r="AM274" s="824"/>
      <c r="AN274" s="824"/>
      <c r="AO274" s="824"/>
      <c r="AP274" s="824"/>
      <c r="AQ274" s="824"/>
    </row>
    <row r="275" spans="1:43" s="15" customFormat="1" x14ac:dyDescent="0.25">
      <c r="A275" s="102"/>
      <c r="M275" s="16"/>
      <c r="U275" s="215"/>
      <c r="V275" s="824"/>
      <c r="W275" s="824"/>
      <c r="X275" s="824"/>
      <c r="Y275" s="824"/>
      <c r="Z275" s="824"/>
      <c r="AA275" s="824"/>
      <c r="AB275" s="824"/>
      <c r="AC275" s="824"/>
      <c r="AD275" s="824"/>
      <c r="AE275" s="824"/>
      <c r="AF275" s="824"/>
      <c r="AG275" s="824"/>
      <c r="AH275" s="824"/>
      <c r="AI275" s="824"/>
      <c r="AJ275" s="824"/>
      <c r="AK275" s="824"/>
      <c r="AL275" s="824"/>
      <c r="AM275" s="824"/>
      <c r="AN275" s="824"/>
      <c r="AO275" s="824"/>
      <c r="AP275" s="824"/>
      <c r="AQ275" s="824"/>
    </row>
    <row r="276" spans="1:43" s="15" customFormat="1" x14ac:dyDescent="0.25">
      <c r="A276" s="102"/>
      <c r="M276" s="16"/>
      <c r="U276" s="215"/>
      <c r="V276" s="824"/>
      <c r="W276" s="824"/>
      <c r="X276" s="824"/>
      <c r="Y276" s="824"/>
      <c r="Z276" s="824"/>
      <c r="AA276" s="824"/>
      <c r="AB276" s="824"/>
      <c r="AC276" s="824"/>
      <c r="AD276" s="824"/>
      <c r="AE276" s="824"/>
      <c r="AF276" s="824"/>
      <c r="AG276" s="824"/>
      <c r="AH276" s="824"/>
      <c r="AI276" s="824"/>
      <c r="AJ276" s="824"/>
      <c r="AK276" s="824"/>
      <c r="AL276" s="824"/>
      <c r="AM276" s="824"/>
      <c r="AN276" s="824"/>
      <c r="AO276" s="824"/>
      <c r="AP276" s="824"/>
      <c r="AQ276" s="824"/>
    </row>
    <row r="277" spans="1:43" s="15" customFormat="1" x14ac:dyDescent="0.25">
      <c r="A277" s="102"/>
      <c r="M277" s="16"/>
      <c r="U277" s="215"/>
      <c r="V277" s="824"/>
      <c r="W277" s="824"/>
      <c r="X277" s="824"/>
      <c r="Y277" s="824"/>
      <c r="Z277" s="824"/>
      <c r="AA277" s="824"/>
      <c r="AB277" s="824"/>
      <c r="AC277" s="824"/>
      <c r="AD277" s="824"/>
      <c r="AE277" s="824"/>
      <c r="AF277" s="824"/>
      <c r="AG277" s="824"/>
      <c r="AH277" s="824"/>
      <c r="AI277" s="824"/>
      <c r="AJ277" s="824"/>
      <c r="AK277" s="824"/>
      <c r="AL277" s="824"/>
      <c r="AM277" s="824"/>
      <c r="AN277" s="824"/>
      <c r="AO277" s="824"/>
      <c r="AP277" s="824"/>
      <c r="AQ277" s="824"/>
    </row>
    <row r="278" spans="1:43" s="15" customFormat="1" x14ac:dyDescent="0.25">
      <c r="A278" s="102"/>
      <c r="M278" s="16"/>
      <c r="U278" s="215"/>
      <c r="V278" s="824"/>
      <c r="W278" s="824"/>
      <c r="X278" s="824"/>
      <c r="Y278" s="824"/>
      <c r="Z278" s="824"/>
      <c r="AA278" s="824"/>
      <c r="AB278" s="824"/>
      <c r="AC278" s="824"/>
      <c r="AD278" s="824"/>
      <c r="AE278" s="824"/>
      <c r="AF278" s="824"/>
      <c r="AG278" s="824"/>
      <c r="AH278" s="824"/>
      <c r="AI278" s="824"/>
      <c r="AJ278" s="824"/>
      <c r="AK278" s="824"/>
      <c r="AL278" s="824"/>
      <c r="AM278" s="824"/>
      <c r="AN278" s="824"/>
      <c r="AO278" s="824"/>
      <c r="AP278" s="824"/>
      <c r="AQ278" s="824"/>
    </row>
    <row r="279" spans="1:43" s="15" customFormat="1" x14ac:dyDescent="0.25">
      <c r="A279" s="102"/>
      <c r="M279" s="16"/>
      <c r="U279" s="215"/>
      <c r="V279" s="824"/>
      <c r="W279" s="824"/>
      <c r="X279" s="824"/>
      <c r="Y279" s="824"/>
      <c r="Z279" s="824"/>
      <c r="AA279" s="824"/>
      <c r="AB279" s="824"/>
      <c r="AC279" s="824"/>
      <c r="AD279" s="824"/>
      <c r="AE279" s="824"/>
      <c r="AF279" s="824"/>
      <c r="AG279" s="824"/>
      <c r="AH279" s="824"/>
      <c r="AI279" s="824"/>
      <c r="AJ279" s="824"/>
      <c r="AK279" s="824"/>
      <c r="AL279" s="824"/>
      <c r="AM279" s="824"/>
      <c r="AN279" s="824"/>
      <c r="AO279" s="824"/>
      <c r="AP279" s="824"/>
      <c r="AQ279" s="824"/>
    </row>
    <row r="280" spans="1:43" s="15" customFormat="1" x14ac:dyDescent="0.25">
      <c r="A280" s="102"/>
      <c r="M280" s="16"/>
      <c r="U280" s="215"/>
      <c r="V280" s="824"/>
      <c r="W280" s="824"/>
      <c r="X280" s="824"/>
      <c r="Y280" s="824"/>
      <c r="Z280" s="824"/>
      <c r="AA280" s="824"/>
      <c r="AB280" s="824"/>
      <c r="AC280" s="824"/>
      <c r="AD280" s="824"/>
      <c r="AE280" s="824"/>
      <c r="AF280" s="824"/>
      <c r="AG280" s="824"/>
      <c r="AH280" s="824"/>
      <c r="AI280" s="824"/>
      <c r="AJ280" s="824"/>
      <c r="AK280" s="824"/>
      <c r="AL280" s="824"/>
      <c r="AM280" s="824"/>
      <c r="AN280" s="824"/>
      <c r="AO280" s="824"/>
      <c r="AP280" s="824"/>
      <c r="AQ280" s="824"/>
    </row>
    <row r="281" spans="1:43" s="15" customFormat="1" x14ac:dyDescent="0.25">
      <c r="A281" s="102"/>
      <c r="M281" s="16"/>
      <c r="U281" s="215"/>
      <c r="V281" s="824"/>
      <c r="W281" s="824"/>
      <c r="X281" s="824"/>
      <c r="Y281" s="824"/>
      <c r="Z281" s="824"/>
      <c r="AA281" s="824"/>
      <c r="AB281" s="824"/>
      <c r="AC281" s="824"/>
      <c r="AD281" s="824"/>
      <c r="AE281" s="824"/>
      <c r="AF281" s="824"/>
      <c r="AG281" s="824"/>
      <c r="AH281" s="824"/>
      <c r="AI281" s="824"/>
      <c r="AJ281" s="824"/>
      <c r="AK281" s="824"/>
      <c r="AL281" s="824"/>
      <c r="AM281" s="824"/>
      <c r="AN281" s="824"/>
      <c r="AO281" s="824"/>
      <c r="AP281" s="824"/>
      <c r="AQ281" s="824"/>
    </row>
    <row r="282" spans="1:43" s="15" customFormat="1" x14ac:dyDescent="0.25">
      <c r="A282" s="102"/>
      <c r="M282" s="16"/>
      <c r="U282" s="215"/>
      <c r="V282" s="824"/>
      <c r="W282" s="824"/>
      <c r="X282" s="824"/>
      <c r="Y282" s="824"/>
      <c r="Z282" s="824"/>
      <c r="AA282" s="824"/>
      <c r="AB282" s="824"/>
      <c r="AC282" s="824"/>
      <c r="AD282" s="824"/>
      <c r="AE282" s="824"/>
      <c r="AF282" s="824"/>
      <c r="AG282" s="824"/>
      <c r="AH282" s="824"/>
      <c r="AI282" s="824"/>
      <c r="AJ282" s="824"/>
      <c r="AK282" s="824"/>
      <c r="AL282" s="824"/>
      <c r="AM282" s="824"/>
      <c r="AN282" s="824"/>
      <c r="AO282" s="824"/>
      <c r="AP282" s="824"/>
      <c r="AQ282" s="824"/>
    </row>
    <row r="283" spans="1:43" s="15" customFormat="1" x14ac:dyDescent="0.25">
      <c r="A283" s="102"/>
      <c r="M283" s="16"/>
      <c r="U283" s="215"/>
      <c r="V283" s="824"/>
      <c r="W283" s="824"/>
      <c r="X283" s="824"/>
      <c r="Y283" s="824"/>
      <c r="Z283" s="824"/>
      <c r="AA283" s="824"/>
      <c r="AB283" s="824"/>
      <c r="AC283" s="824"/>
      <c r="AD283" s="824"/>
      <c r="AE283" s="824"/>
      <c r="AF283" s="824"/>
      <c r="AG283" s="824"/>
      <c r="AH283" s="824"/>
      <c r="AI283" s="824"/>
      <c r="AJ283" s="824"/>
      <c r="AK283" s="824"/>
      <c r="AL283" s="824"/>
      <c r="AM283" s="824"/>
      <c r="AN283" s="824"/>
      <c r="AO283" s="824"/>
      <c r="AP283" s="824"/>
      <c r="AQ283" s="824"/>
    </row>
    <row r="284" spans="1:43" s="15" customFormat="1" x14ac:dyDescent="0.25">
      <c r="A284" s="102"/>
      <c r="M284" s="16"/>
      <c r="U284" s="215"/>
      <c r="V284" s="824"/>
      <c r="W284" s="824"/>
      <c r="X284" s="824"/>
      <c r="Y284" s="824"/>
      <c r="Z284" s="824"/>
      <c r="AA284" s="824"/>
      <c r="AB284" s="824"/>
      <c r="AC284" s="824"/>
      <c r="AD284" s="824"/>
      <c r="AE284" s="824"/>
      <c r="AF284" s="824"/>
      <c r="AG284" s="824"/>
      <c r="AH284" s="824"/>
      <c r="AI284" s="824"/>
      <c r="AJ284" s="824"/>
      <c r="AK284" s="824"/>
      <c r="AL284" s="824"/>
      <c r="AM284" s="824"/>
      <c r="AN284" s="824"/>
      <c r="AO284" s="824"/>
      <c r="AP284" s="824"/>
      <c r="AQ284" s="824"/>
    </row>
    <row r="285" spans="1:43" s="15" customFormat="1" x14ac:dyDescent="0.25">
      <c r="A285" s="102"/>
      <c r="M285" s="16"/>
      <c r="U285" s="215"/>
      <c r="V285" s="824"/>
      <c r="W285" s="824"/>
      <c r="X285" s="824"/>
      <c r="Y285" s="824"/>
      <c r="Z285" s="824"/>
      <c r="AA285" s="824"/>
      <c r="AB285" s="824"/>
      <c r="AC285" s="824"/>
      <c r="AD285" s="824"/>
      <c r="AE285" s="824"/>
      <c r="AF285" s="824"/>
      <c r="AG285" s="824"/>
      <c r="AH285" s="824"/>
      <c r="AI285" s="824"/>
      <c r="AJ285" s="824"/>
      <c r="AK285" s="824"/>
      <c r="AL285" s="824"/>
      <c r="AM285" s="824"/>
      <c r="AN285" s="824"/>
      <c r="AO285" s="824"/>
      <c r="AP285" s="824"/>
      <c r="AQ285" s="824"/>
    </row>
    <row r="286" spans="1:43" s="15" customFormat="1" x14ac:dyDescent="0.25">
      <c r="A286" s="102"/>
      <c r="M286" s="16"/>
      <c r="U286" s="215"/>
      <c r="V286" s="824"/>
      <c r="W286" s="824"/>
      <c r="X286" s="824"/>
      <c r="Y286" s="824"/>
      <c r="Z286" s="824"/>
      <c r="AA286" s="824"/>
      <c r="AB286" s="824"/>
      <c r="AC286" s="824"/>
      <c r="AD286" s="824"/>
      <c r="AE286" s="824"/>
      <c r="AF286" s="824"/>
      <c r="AG286" s="824"/>
      <c r="AH286" s="824"/>
      <c r="AI286" s="824"/>
      <c r="AJ286" s="824"/>
      <c r="AK286" s="824"/>
      <c r="AL286" s="824"/>
      <c r="AM286" s="824"/>
      <c r="AN286" s="824"/>
      <c r="AO286" s="824"/>
      <c r="AP286" s="824"/>
      <c r="AQ286" s="824"/>
    </row>
    <row r="287" spans="1:43" s="15" customFormat="1" x14ac:dyDescent="0.25">
      <c r="A287" s="102"/>
      <c r="M287" s="16"/>
      <c r="U287" s="215"/>
      <c r="V287" s="824"/>
      <c r="W287" s="824"/>
      <c r="X287" s="824"/>
      <c r="Y287" s="824"/>
      <c r="Z287" s="824"/>
      <c r="AA287" s="824"/>
      <c r="AB287" s="824"/>
      <c r="AC287" s="824"/>
      <c r="AD287" s="824"/>
      <c r="AE287" s="824"/>
      <c r="AF287" s="824"/>
      <c r="AG287" s="824"/>
      <c r="AH287" s="824"/>
      <c r="AI287" s="824"/>
      <c r="AJ287" s="824"/>
      <c r="AK287" s="824"/>
      <c r="AL287" s="824"/>
      <c r="AM287" s="824"/>
      <c r="AN287" s="824"/>
      <c r="AO287" s="824"/>
      <c r="AP287" s="824"/>
      <c r="AQ287" s="824"/>
    </row>
    <row r="288" spans="1:43" s="15" customFormat="1" x14ac:dyDescent="0.25">
      <c r="A288" s="102"/>
      <c r="M288" s="16"/>
      <c r="U288" s="215"/>
      <c r="V288" s="824"/>
      <c r="W288" s="824"/>
      <c r="X288" s="824"/>
      <c r="Y288" s="824"/>
      <c r="Z288" s="824"/>
      <c r="AA288" s="824"/>
      <c r="AB288" s="824"/>
      <c r="AC288" s="824"/>
      <c r="AD288" s="824"/>
      <c r="AE288" s="824"/>
      <c r="AF288" s="824"/>
      <c r="AG288" s="824"/>
      <c r="AH288" s="824"/>
      <c r="AI288" s="824"/>
      <c r="AJ288" s="824"/>
      <c r="AK288" s="824"/>
      <c r="AL288" s="824"/>
      <c r="AM288" s="824"/>
      <c r="AN288" s="824"/>
      <c r="AO288" s="824"/>
      <c r="AP288" s="824"/>
      <c r="AQ288" s="824"/>
    </row>
    <row r="289" spans="1:43" s="15" customFormat="1" x14ac:dyDescent="0.25">
      <c r="A289" s="102"/>
      <c r="M289" s="16"/>
      <c r="U289" s="215"/>
      <c r="V289" s="824"/>
      <c r="W289" s="824"/>
      <c r="X289" s="824"/>
      <c r="Y289" s="824"/>
      <c r="Z289" s="824"/>
      <c r="AA289" s="824"/>
      <c r="AB289" s="824"/>
      <c r="AC289" s="824"/>
      <c r="AD289" s="824"/>
      <c r="AE289" s="824"/>
      <c r="AF289" s="824"/>
      <c r="AG289" s="824"/>
      <c r="AH289" s="824"/>
      <c r="AI289" s="824"/>
      <c r="AJ289" s="824"/>
      <c r="AK289" s="824"/>
      <c r="AL289" s="824"/>
      <c r="AM289" s="824"/>
      <c r="AN289" s="824"/>
      <c r="AO289" s="824"/>
      <c r="AP289" s="824"/>
      <c r="AQ289" s="824"/>
    </row>
    <row r="290" spans="1:43" s="15" customFormat="1" x14ac:dyDescent="0.25">
      <c r="A290" s="102"/>
      <c r="M290" s="16"/>
      <c r="U290" s="215"/>
      <c r="V290" s="824"/>
      <c r="W290" s="824"/>
      <c r="X290" s="824"/>
      <c r="Y290" s="824"/>
      <c r="Z290" s="824"/>
      <c r="AA290" s="824"/>
      <c r="AB290" s="824"/>
      <c r="AC290" s="824"/>
      <c r="AD290" s="824"/>
      <c r="AE290" s="824"/>
      <c r="AF290" s="824"/>
      <c r="AG290" s="824"/>
      <c r="AH290" s="824"/>
      <c r="AI290" s="824"/>
      <c r="AJ290" s="824"/>
      <c r="AK290" s="824"/>
      <c r="AL290" s="824"/>
      <c r="AM290" s="824"/>
      <c r="AN290" s="824"/>
      <c r="AO290" s="824"/>
      <c r="AP290" s="824"/>
      <c r="AQ290" s="824"/>
    </row>
    <row r="291" spans="1:43" s="15" customFormat="1" x14ac:dyDescent="0.25">
      <c r="A291" s="102"/>
      <c r="M291" s="16"/>
      <c r="U291" s="215"/>
      <c r="V291" s="824"/>
      <c r="W291" s="824"/>
      <c r="X291" s="824"/>
      <c r="Y291" s="824"/>
      <c r="Z291" s="824"/>
      <c r="AA291" s="824"/>
      <c r="AB291" s="824"/>
      <c r="AC291" s="824"/>
      <c r="AD291" s="824"/>
      <c r="AE291" s="824"/>
      <c r="AF291" s="824"/>
      <c r="AG291" s="824"/>
      <c r="AH291" s="824"/>
      <c r="AI291" s="824"/>
      <c r="AJ291" s="824"/>
      <c r="AK291" s="824"/>
      <c r="AL291" s="824"/>
      <c r="AM291" s="824"/>
      <c r="AN291" s="824"/>
      <c r="AO291" s="824"/>
      <c r="AP291" s="824"/>
      <c r="AQ291" s="824"/>
    </row>
    <row r="292" spans="1:43" s="15" customFormat="1" x14ac:dyDescent="0.25">
      <c r="A292" s="102"/>
      <c r="M292" s="16"/>
      <c r="U292" s="215"/>
      <c r="V292" s="824"/>
      <c r="W292" s="824"/>
      <c r="X292" s="824"/>
      <c r="Y292" s="824"/>
      <c r="Z292" s="824"/>
      <c r="AA292" s="824"/>
      <c r="AB292" s="824"/>
      <c r="AC292" s="824"/>
      <c r="AD292" s="824"/>
      <c r="AE292" s="824"/>
      <c r="AF292" s="824"/>
      <c r="AG292" s="824"/>
      <c r="AH292" s="824"/>
      <c r="AI292" s="824"/>
      <c r="AJ292" s="824"/>
      <c r="AK292" s="824"/>
      <c r="AL292" s="824"/>
      <c r="AM292" s="824"/>
      <c r="AN292" s="824"/>
      <c r="AO292" s="824"/>
      <c r="AP292" s="824"/>
      <c r="AQ292" s="824"/>
    </row>
    <row r="293" spans="1:43" s="15" customFormat="1" x14ac:dyDescent="0.25">
      <c r="A293" s="102"/>
      <c r="M293" s="16"/>
      <c r="U293" s="215"/>
      <c r="V293" s="824"/>
      <c r="W293" s="824"/>
      <c r="X293" s="824"/>
      <c r="Y293" s="824"/>
      <c r="Z293" s="824"/>
      <c r="AA293" s="824"/>
      <c r="AB293" s="824"/>
      <c r="AC293" s="824"/>
      <c r="AD293" s="824"/>
      <c r="AE293" s="824"/>
      <c r="AF293" s="824"/>
      <c r="AG293" s="824"/>
      <c r="AH293" s="824"/>
      <c r="AI293" s="824"/>
      <c r="AJ293" s="824"/>
      <c r="AK293" s="824"/>
      <c r="AL293" s="824"/>
      <c r="AM293" s="824"/>
      <c r="AN293" s="824"/>
      <c r="AO293" s="824"/>
      <c r="AP293" s="824"/>
      <c r="AQ293" s="824"/>
    </row>
    <row r="294" spans="1:43" s="15" customFormat="1" x14ac:dyDescent="0.25">
      <c r="A294" s="102"/>
      <c r="M294" s="16"/>
      <c r="U294" s="215"/>
      <c r="V294" s="824"/>
      <c r="W294" s="824"/>
      <c r="X294" s="824"/>
      <c r="Y294" s="824"/>
      <c r="Z294" s="824"/>
      <c r="AA294" s="824"/>
      <c r="AB294" s="824"/>
      <c r="AC294" s="824"/>
      <c r="AD294" s="824"/>
      <c r="AE294" s="824"/>
      <c r="AF294" s="824"/>
      <c r="AG294" s="824"/>
      <c r="AH294" s="824"/>
      <c r="AI294" s="824"/>
      <c r="AJ294" s="824"/>
      <c r="AK294" s="824"/>
      <c r="AL294" s="824"/>
      <c r="AM294" s="824"/>
      <c r="AN294" s="824"/>
      <c r="AO294" s="824"/>
      <c r="AP294" s="824"/>
      <c r="AQ294" s="824"/>
    </row>
    <row r="295" spans="1:43" s="15" customFormat="1" x14ac:dyDescent="0.25">
      <c r="A295" s="102"/>
      <c r="M295" s="16"/>
      <c r="U295" s="215"/>
      <c r="V295" s="824"/>
      <c r="W295" s="824"/>
      <c r="X295" s="824"/>
      <c r="Y295" s="824"/>
      <c r="Z295" s="824"/>
      <c r="AA295" s="824"/>
      <c r="AB295" s="824"/>
      <c r="AC295" s="824"/>
      <c r="AD295" s="824"/>
      <c r="AE295" s="824"/>
      <c r="AF295" s="824"/>
      <c r="AG295" s="824"/>
      <c r="AH295" s="824"/>
      <c r="AI295" s="824"/>
      <c r="AJ295" s="824"/>
      <c r="AK295" s="824"/>
      <c r="AL295" s="824"/>
      <c r="AM295" s="824"/>
      <c r="AN295" s="824"/>
      <c r="AO295" s="824"/>
      <c r="AP295" s="824"/>
      <c r="AQ295" s="824"/>
    </row>
    <row r="296" spans="1:43" s="15" customFormat="1" x14ac:dyDescent="0.25">
      <c r="A296" s="102"/>
      <c r="M296" s="16"/>
      <c r="U296" s="215"/>
      <c r="V296" s="824"/>
      <c r="W296" s="824"/>
      <c r="X296" s="824"/>
      <c r="Y296" s="824"/>
      <c r="Z296" s="824"/>
      <c r="AA296" s="824"/>
      <c r="AB296" s="824"/>
      <c r="AC296" s="824"/>
      <c r="AD296" s="824"/>
      <c r="AE296" s="824"/>
      <c r="AF296" s="824"/>
      <c r="AG296" s="824"/>
      <c r="AH296" s="824"/>
      <c r="AI296" s="824"/>
      <c r="AJ296" s="824"/>
      <c r="AK296" s="824"/>
      <c r="AL296" s="824"/>
      <c r="AM296" s="824"/>
      <c r="AN296" s="824"/>
      <c r="AO296" s="824"/>
      <c r="AP296" s="824"/>
      <c r="AQ296" s="824"/>
    </row>
    <row r="297" spans="1:43" s="15" customFormat="1" x14ac:dyDescent="0.25">
      <c r="A297" s="102"/>
      <c r="M297" s="16"/>
      <c r="U297" s="215"/>
      <c r="V297" s="824"/>
      <c r="W297" s="824"/>
      <c r="X297" s="824"/>
      <c r="Y297" s="824"/>
      <c r="Z297" s="824"/>
      <c r="AA297" s="824"/>
      <c r="AB297" s="824"/>
      <c r="AC297" s="824"/>
      <c r="AD297" s="824"/>
      <c r="AE297" s="824"/>
      <c r="AF297" s="824"/>
      <c r="AG297" s="824"/>
      <c r="AH297" s="824"/>
      <c r="AI297" s="824"/>
      <c r="AJ297" s="824"/>
      <c r="AK297" s="824"/>
      <c r="AL297" s="824"/>
      <c r="AM297" s="824"/>
      <c r="AN297" s="824"/>
      <c r="AO297" s="824"/>
      <c r="AP297" s="824"/>
      <c r="AQ297" s="824"/>
    </row>
    <row r="298" spans="1:43" s="15" customFormat="1" x14ac:dyDescent="0.25">
      <c r="A298" s="102"/>
      <c r="M298" s="16"/>
      <c r="U298" s="215"/>
      <c r="V298" s="824"/>
      <c r="W298" s="824"/>
      <c r="X298" s="824"/>
      <c r="Y298" s="824"/>
      <c r="Z298" s="824"/>
      <c r="AA298" s="824"/>
      <c r="AB298" s="824"/>
      <c r="AC298" s="824"/>
      <c r="AD298" s="824"/>
      <c r="AE298" s="824"/>
      <c r="AF298" s="824"/>
      <c r="AG298" s="824"/>
      <c r="AH298" s="824"/>
      <c r="AI298" s="824"/>
      <c r="AJ298" s="824"/>
      <c r="AK298" s="824"/>
      <c r="AL298" s="824"/>
      <c r="AM298" s="824"/>
      <c r="AN298" s="824"/>
      <c r="AO298" s="824"/>
      <c r="AP298" s="824"/>
      <c r="AQ298" s="824"/>
    </row>
    <row r="299" spans="1:43" s="15" customFormat="1" x14ac:dyDescent="0.25">
      <c r="A299" s="102"/>
      <c r="M299" s="16"/>
      <c r="U299" s="215"/>
      <c r="V299" s="824"/>
      <c r="W299" s="824"/>
      <c r="X299" s="824"/>
      <c r="Y299" s="824"/>
      <c r="Z299" s="824"/>
      <c r="AA299" s="824"/>
      <c r="AB299" s="824"/>
      <c r="AC299" s="824"/>
      <c r="AD299" s="824"/>
      <c r="AE299" s="824"/>
      <c r="AF299" s="824"/>
      <c r="AG299" s="824"/>
      <c r="AH299" s="824"/>
      <c r="AI299" s="824"/>
      <c r="AJ299" s="824"/>
      <c r="AK299" s="824"/>
      <c r="AL299" s="824"/>
      <c r="AM299" s="824"/>
      <c r="AN299" s="824"/>
      <c r="AO299" s="824"/>
      <c r="AP299" s="824"/>
      <c r="AQ299" s="824"/>
    </row>
    <row r="300" spans="1:43" s="15" customFormat="1" x14ac:dyDescent="0.25">
      <c r="A300" s="102"/>
      <c r="M300" s="16"/>
      <c r="U300" s="215"/>
      <c r="V300" s="824"/>
      <c r="W300" s="824"/>
      <c r="X300" s="824"/>
      <c r="Y300" s="824"/>
      <c r="Z300" s="824"/>
      <c r="AA300" s="824"/>
      <c r="AB300" s="824"/>
      <c r="AC300" s="824"/>
      <c r="AD300" s="824"/>
      <c r="AE300" s="824"/>
      <c r="AF300" s="824"/>
      <c r="AG300" s="824"/>
      <c r="AH300" s="824"/>
      <c r="AI300" s="824"/>
      <c r="AJ300" s="824"/>
      <c r="AK300" s="824"/>
      <c r="AL300" s="824"/>
      <c r="AM300" s="824"/>
      <c r="AN300" s="824"/>
      <c r="AO300" s="824"/>
      <c r="AP300" s="824"/>
      <c r="AQ300" s="824"/>
    </row>
    <row r="301" spans="1:43" s="15" customFormat="1" x14ac:dyDescent="0.25">
      <c r="A301" s="102"/>
      <c r="M301" s="16"/>
      <c r="U301" s="215"/>
      <c r="V301" s="824"/>
      <c r="W301" s="824"/>
      <c r="X301" s="824"/>
      <c r="Y301" s="824"/>
      <c r="Z301" s="824"/>
      <c r="AA301" s="824"/>
      <c r="AB301" s="824"/>
      <c r="AC301" s="824"/>
      <c r="AD301" s="824"/>
      <c r="AE301" s="824"/>
      <c r="AF301" s="824"/>
      <c r="AG301" s="824"/>
      <c r="AH301" s="824"/>
      <c r="AI301" s="824"/>
      <c r="AJ301" s="824"/>
      <c r="AK301" s="824"/>
      <c r="AL301" s="824"/>
      <c r="AM301" s="824"/>
      <c r="AN301" s="824"/>
      <c r="AO301" s="824"/>
      <c r="AP301" s="824"/>
      <c r="AQ301" s="824"/>
    </row>
    <row r="302" spans="1:43" s="15" customFormat="1" x14ac:dyDescent="0.25">
      <c r="A302" s="102"/>
      <c r="M302" s="16"/>
      <c r="U302" s="215"/>
      <c r="V302" s="824"/>
      <c r="W302" s="824"/>
      <c r="X302" s="824"/>
      <c r="Y302" s="824"/>
      <c r="Z302" s="824"/>
      <c r="AA302" s="824"/>
      <c r="AB302" s="824"/>
      <c r="AC302" s="824"/>
      <c r="AD302" s="824"/>
      <c r="AE302" s="824"/>
      <c r="AF302" s="824"/>
      <c r="AG302" s="824"/>
      <c r="AH302" s="824"/>
      <c r="AI302" s="824"/>
      <c r="AJ302" s="824"/>
      <c r="AK302" s="824"/>
      <c r="AL302" s="824"/>
      <c r="AM302" s="824"/>
      <c r="AN302" s="824"/>
      <c r="AO302" s="824"/>
      <c r="AP302" s="824"/>
      <c r="AQ302" s="824"/>
    </row>
    <row r="303" spans="1:43" s="15" customFormat="1" x14ac:dyDescent="0.25">
      <c r="A303" s="102"/>
      <c r="M303" s="16"/>
      <c r="U303" s="215"/>
      <c r="V303" s="824"/>
      <c r="W303" s="824"/>
      <c r="X303" s="824"/>
      <c r="Y303" s="824"/>
      <c r="Z303" s="824"/>
      <c r="AA303" s="824"/>
      <c r="AB303" s="824"/>
      <c r="AC303" s="824"/>
      <c r="AD303" s="824"/>
      <c r="AE303" s="824"/>
      <c r="AF303" s="824"/>
      <c r="AG303" s="824"/>
      <c r="AH303" s="824"/>
      <c r="AI303" s="824"/>
      <c r="AJ303" s="824"/>
      <c r="AK303" s="824"/>
      <c r="AL303" s="824"/>
      <c r="AM303" s="824"/>
      <c r="AN303" s="824"/>
      <c r="AO303" s="824"/>
      <c r="AP303" s="824"/>
      <c r="AQ303" s="824"/>
    </row>
    <row r="304" spans="1:43" s="15" customFormat="1" x14ac:dyDescent="0.25">
      <c r="A304" s="102"/>
      <c r="M304" s="16"/>
      <c r="U304" s="215"/>
      <c r="V304" s="824"/>
      <c r="W304" s="824"/>
      <c r="X304" s="824"/>
      <c r="Y304" s="824"/>
      <c r="Z304" s="824"/>
      <c r="AA304" s="824"/>
      <c r="AB304" s="824"/>
      <c r="AC304" s="824"/>
      <c r="AD304" s="824"/>
      <c r="AE304" s="824"/>
      <c r="AF304" s="824"/>
      <c r="AG304" s="824"/>
      <c r="AH304" s="824"/>
      <c r="AI304" s="824"/>
      <c r="AJ304" s="824"/>
      <c r="AK304" s="824"/>
      <c r="AL304" s="824"/>
      <c r="AM304" s="824"/>
      <c r="AN304" s="824"/>
      <c r="AO304" s="824"/>
      <c r="AP304" s="824"/>
      <c r="AQ304" s="824"/>
    </row>
    <row r="305" spans="1:43" s="15" customFormat="1" x14ac:dyDescent="0.25">
      <c r="A305" s="102"/>
      <c r="M305" s="16"/>
      <c r="U305" s="215"/>
      <c r="V305" s="824"/>
      <c r="W305" s="824"/>
      <c r="X305" s="824"/>
      <c r="Y305" s="824"/>
      <c r="Z305" s="824"/>
      <c r="AA305" s="824"/>
      <c r="AB305" s="824"/>
      <c r="AC305" s="824"/>
      <c r="AD305" s="824"/>
      <c r="AE305" s="824"/>
      <c r="AF305" s="824"/>
      <c r="AG305" s="824"/>
      <c r="AH305" s="824"/>
      <c r="AI305" s="824"/>
      <c r="AJ305" s="824"/>
      <c r="AK305" s="824"/>
      <c r="AL305" s="824"/>
      <c r="AM305" s="824"/>
      <c r="AN305" s="824"/>
      <c r="AO305" s="824"/>
      <c r="AP305" s="824"/>
      <c r="AQ305" s="824"/>
    </row>
    <row r="306" spans="1:43" s="15" customFormat="1" x14ac:dyDescent="0.25">
      <c r="A306" s="102"/>
      <c r="M306" s="16"/>
      <c r="U306" s="215"/>
      <c r="V306" s="824"/>
      <c r="W306" s="824"/>
      <c r="X306" s="824"/>
      <c r="Y306" s="824"/>
      <c r="Z306" s="824"/>
      <c r="AA306" s="824"/>
      <c r="AB306" s="824"/>
      <c r="AC306" s="824"/>
      <c r="AD306" s="824"/>
      <c r="AE306" s="824"/>
      <c r="AF306" s="824"/>
      <c r="AG306" s="824"/>
      <c r="AH306" s="824"/>
      <c r="AI306" s="824"/>
      <c r="AJ306" s="824"/>
      <c r="AK306" s="824"/>
      <c r="AL306" s="824"/>
      <c r="AM306" s="824"/>
      <c r="AN306" s="824"/>
      <c r="AO306" s="824"/>
      <c r="AP306" s="824"/>
      <c r="AQ306" s="824"/>
    </row>
    <row r="307" spans="1:43" s="15" customFormat="1" x14ac:dyDescent="0.25">
      <c r="A307" s="102"/>
      <c r="M307" s="16"/>
      <c r="U307" s="215"/>
      <c r="V307" s="824"/>
      <c r="W307" s="824"/>
      <c r="X307" s="824"/>
      <c r="Y307" s="824"/>
      <c r="Z307" s="824"/>
      <c r="AA307" s="824"/>
      <c r="AB307" s="824"/>
      <c r="AC307" s="824"/>
      <c r="AD307" s="824"/>
      <c r="AE307" s="824"/>
      <c r="AF307" s="824"/>
      <c r="AG307" s="824"/>
      <c r="AH307" s="824"/>
      <c r="AI307" s="824"/>
      <c r="AJ307" s="824"/>
      <c r="AK307" s="824"/>
      <c r="AL307" s="824"/>
      <c r="AM307" s="824"/>
      <c r="AN307" s="824"/>
      <c r="AO307" s="824"/>
      <c r="AP307" s="824"/>
      <c r="AQ307" s="824"/>
    </row>
    <row r="308" spans="1:43" s="15" customFormat="1" x14ac:dyDescent="0.25">
      <c r="A308" s="102"/>
      <c r="M308" s="16"/>
      <c r="U308" s="215"/>
      <c r="V308" s="824"/>
      <c r="W308" s="824"/>
      <c r="X308" s="824"/>
      <c r="Y308" s="824"/>
      <c r="Z308" s="824"/>
      <c r="AA308" s="824"/>
      <c r="AB308" s="824"/>
      <c r="AC308" s="824"/>
      <c r="AD308" s="824"/>
      <c r="AE308" s="824"/>
      <c r="AF308" s="824"/>
      <c r="AG308" s="824"/>
      <c r="AH308" s="824"/>
      <c r="AI308" s="824"/>
      <c r="AJ308" s="824"/>
      <c r="AK308" s="824"/>
      <c r="AL308" s="824"/>
      <c r="AM308" s="824"/>
      <c r="AN308" s="824"/>
      <c r="AO308" s="824"/>
      <c r="AP308" s="824"/>
      <c r="AQ308" s="824"/>
    </row>
    <row r="309" spans="1:43" s="15" customFormat="1" x14ac:dyDescent="0.25">
      <c r="A309" s="102"/>
      <c r="M309" s="16"/>
      <c r="U309" s="215"/>
      <c r="V309" s="824"/>
      <c r="W309" s="824"/>
      <c r="X309" s="824"/>
      <c r="Y309" s="824"/>
      <c r="Z309" s="824"/>
      <c r="AA309" s="824"/>
      <c r="AB309" s="824"/>
      <c r="AC309" s="824"/>
      <c r="AD309" s="824"/>
      <c r="AE309" s="824"/>
      <c r="AF309" s="824"/>
      <c r="AG309" s="824"/>
      <c r="AH309" s="824"/>
      <c r="AI309" s="824"/>
      <c r="AJ309" s="824"/>
      <c r="AK309" s="824"/>
      <c r="AL309" s="824"/>
      <c r="AM309" s="824"/>
      <c r="AN309" s="824"/>
      <c r="AO309" s="824"/>
      <c r="AP309" s="824"/>
      <c r="AQ309" s="824"/>
    </row>
    <row r="310" spans="1:43" s="15" customFormat="1" x14ac:dyDescent="0.25">
      <c r="A310" s="102"/>
      <c r="M310" s="16"/>
      <c r="U310" s="215"/>
      <c r="V310" s="824"/>
      <c r="W310" s="824"/>
      <c r="X310" s="824"/>
      <c r="Y310" s="824"/>
      <c r="Z310" s="824"/>
      <c r="AA310" s="824"/>
      <c r="AB310" s="824"/>
      <c r="AC310" s="824"/>
      <c r="AD310" s="824"/>
      <c r="AE310" s="824"/>
      <c r="AF310" s="824"/>
      <c r="AG310" s="824"/>
      <c r="AH310" s="824"/>
      <c r="AI310" s="824"/>
      <c r="AJ310" s="824"/>
      <c r="AK310" s="824"/>
      <c r="AL310" s="824"/>
      <c r="AM310" s="824"/>
      <c r="AN310" s="824"/>
      <c r="AO310" s="824"/>
      <c r="AP310" s="824"/>
      <c r="AQ310" s="824"/>
    </row>
    <row r="311" spans="1:43" s="15" customFormat="1" x14ac:dyDescent="0.25">
      <c r="A311" s="102"/>
      <c r="M311" s="16"/>
      <c r="U311" s="215"/>
      <c r="V311" s="824"/>
      <c r="W311" s="824"/>
      <c r="X311" s="824"/>
      <c r="Y311" s="824"/>
      <c r="Z311" s="824"/>
      <c r="AA311" s="824"/>
      <c r="AB311" s="824"/>
      <c r="AC311" s="824"/>
      <c r="AD311" s="824"/>
      <c r="AE311" s="824"/>
      <c r="AF311" s="824"/>
      <c r="AG311" s="824"/>
      <c r="AH311" s="824"/>
      <c r="AI311" s="824"/>
      <c r="AJ311" s="824"/>
      <c r="AK311" s="824"/>
      <c r="AL311" s="824"/>
      <c r="AM311" s="824"/>
      <c r="AN311" s="824"/>
      <c r="AO311" s="824"/>
      <c r="AP311" s="824"/>
      <c r="AQ311" s="824"/>
    </row>
    <row r="312" spans="1:43" s="15" customFormat="1" x14ac:dyDescent="0.25">
      <c r="A312" s="102"/>
      <c r="M312" s="16"/>
      <c r="U312" s="215"/>
      <c r="V312" s="824"/>
      <c r="W312" s="824"/>
      <c r="X312" s="824"/>
      <c r="Y312" s="824"/>
      <c r="Z312" s="824"/>
      <c r="AA312" s="824"/>
      <c r="AB312" s="824"/>
      <c r="AC312" s="824"/>
      <c r="AD312" s="824"/>
      <c r="AE312" s="824"/>
      <c r="AF312" s="824"/>
      <c r="AG312" s="824"/>
      <c r="AH312" s="824"/>
      <c r="AI312" s="824"/>
      <c r="AJ312" s="824"/>
      <c r="AK312" s="824"/>
      <c r="AL312" s="824"/>
      <c r="AM312" s="824"/>
      <c r="AN312" s="824"/>
      <c r="AO312" s="824"/>
      <c r="AP312" s="824"/>
      <c r="AQ312" s="824"/>
    </row>
    <row r="313" spans="1:43" s="15" customFormat="1" x14ac:dyDescent="0.25">
      <c r="A313" s="102"/>
      <c r="M313" s="16"/>
      <c r="U313" s="215"/>
      <c r="V313" s="824"/>
      <c r="W313" s="824"/>
      <c r="X313" s="824"/>
      <c r="Y313" s="824"/>
      <c r="Z313" s="824"/>
      <c r="AA313" s="824"/>
      <c r="AB313" s="824"/>
      <c r="AC313" s="824"/>
      <c r="AD313" s="824"/>
      <c r="AE313" s="824"/>
      <c r="AF313" s="824"/>
      <c r="AG313" s="824"/>
      <c r="AH313" s="824"/>
      <c r="AI313" s="824"/>
      <c r="AJ313" s="824"/>
      <c r="AK313" s="824"/>
      <c r="AL313" s="824"/>
      <c r="AM313" s="824"/>
      <c r="AN313" s="824"/>
      <c r="AO313" s="824"/>
      <c r="AP313" s="824"/>
      <c r="AQ313" s="824"/>
    </row>
    <row r="314" spans="1:43" s="15" customFormat="1" x14ac:dyDescent="0.25">
      <c r="A314" s="102"/>
      <c r="M314" s="16"/>
      <c r="U314" s="215"/>
      <c r="V314" s="824"/>
      <c r="W314" s="824"/>
      <c r="X314" s="824"/>
      <c r="Y314" s="824"/>
      <c r="Z314" s="824"/>
      <c r="AA314" s="824"/>
      <c r="AB314" s="824"/>
      <c r="AC314" s="824"/>
      <c r="AD314" s="824"/>
      <c r="AE314" s="824"/>
      <c r="AF314" s="824"/>
      <c r="AG314" s="824"/>
      <c r="AH314" s="824"/>
      <c r="AI314" s="824"/>
      <c r="AJ314" s="824"/>
      <c r="AK314" s="824"/>
      <c r="AL314" s="824"/>
      <c r="AM314" s="824"/>
      <c r="AN314" s="824"/>
      <c r="AO314" s="824"/>
      <c r="AP314" s="824"/>
      <c r="AQ314" s="824"/>
    </row>
    <row r="315" spans="1:43" s="15" customFormat="1" x14ac:dyDescent="0.25">
      <c r="A315" s="102"/>
      <c r="M315" s="16"/>
      <c r="U315" s="215"/>
      <c r="V315" s="824"/>
      <c r="W315" s="824"/>
      <c r="X315" s="824"/>
      <c r="Y315" s="824"/>
      <c r="Z315" s="824"/>
      <c r="AA315" s="824"/>
      <c r="AB315" s="824"/>
      <c r="AC315" s="824"/>
      <c r="AD315" s="824"/>
      <c r="AE315" s="824"/>
      <c r="AF315" s="824"/>
      <c r="AG315" s="824"/>
      <c r="AH315" s="824"/>
      <c r="AI315" s="824"/>
      <c r="AJ315" s="824"/>
      <c r="AK315" s="824"/>
      <c r="AL315" s="824"/>
      <c r="AM315" s="824"/>
      <c r="AN315" s="824"/>
      <c r="AO315" s="824"/>
      <c r="AP315" s="824"/>
      <c r="AQ315" s="824"/>
    </row>
    <row r="316" spans="1:43" s="15" customFormat="1" x14ac:dyDescent="0.25">
      <c r="A316" s="102"/>
      <c r="M316" s="16"/>
      <c r="U316" s="215"/>
      <c r="V316" s="824"/>
      <c r="W316" s="824"/>
      <c r="X316" s="824"/>
      <c r="Y316" s="824"/>
      <c r="Z316" s="824"/>
      <c r="AA316" s="824"/>
      <c r="AB316" s="824"/>
      <c r="AC316" s="824"/>
      <c r="AD316" s="824"/>
      <c r="AE316" s="824"/>
      <c r="AF316" s="824"/>
      <c r="AG316" s="824"/>
      <c r="AH316" s="824"/>
      <c r="AI316" s="824"/>
      <c r="AJ316" s="824"/>
      <c r="AK316" s="824"/>
      <c r="AL316" s="824"/>
      <c r="AM316" s="824"/>
      <c r="AN316" s="824"/>
      <c r="AO316" s="824"/>
      <c r="AP316" s="824"/>
      <c r="AQ316" s="824"/>
    </row>
    <row r="317" spans="1:43" s="15" customFormat="1" x14ac:dyDescent="0.25">
      <c r="A317" s="102"/>
      <c r="M317" s="16"/>
      <c r="U317" s="215"/>
      <c r="V317" s="824"/>
      <c r="W317" s="824"/>
      <c r="X317" s="824"/>
      <c r="Y317" s="824"/>
      <c r="Z317" s="824"/>
      <c r="AA317" s="824"/>
      <c r="AB317" s="824"/>
      <c r="AC317" s="824"/>
      <c r="AD317" s="824"/>
      <c r="AE317" s="824"/>
      <c r="AF317" s="824"/>
      <c r="AG317" s="824"/>
      <c r="AH317" s="824"/>
      <c r="AI317" s="824"/>
      <c r="AJ317" s="824"/>
      <c r="AK317" s="824"/>
      <c r="AL317" s="824"/>
      <c r="AM317" s="824"/>
      <c r="AN317" s="824"/>
      <c r="AO317" s="824"/>
      <c r="AP317" s="824"/>
      <c r="AQ317" s="824"/>
    </row>
    <row r="318" spans="1:43" s="15" customFormat="1" x14ac:dyDescent="0.25">
      <c r="A318" s="102"/>
      <c r="M318" s="16"/>
      <c r="U318" s="215"/>
      <c r="V318" s="824"/>
      <c r="W318" s="824"/>
      <c r="X318" s="824"/>
      <c r="Y318" s="824"/>
      <c r="Z318" s="824"/>
      <c r="AA318" s="824"/>
      <c r="AB318" s="824"/>
      <c r="AC318" s="824"/>
      <c r="AD318" s="824"/>
      <c r="AE318" s="824"/>
      <c r="AF318" s="824"/>
      <c r="AG318" s="824"/>
      <c r="AH318" s="824"/>
      <c r="AI318" s="824"/>
      <c r="AJ318" s="824"/>
      <c r="AK318" s="824"/>
      <c r="AL318" s="824"/>
      <c r="AM318" s="824"/>
      <c r="AN318" s="824"/>
      <c r="AO318" s="824"/>
      <c r="AP318" s="824"/>
      <c r="AQ318" s="824"/>
    </row>
    <row r="319" spans="1:43" s="15" customFormat="1" x14ac:dyDescent="0.25">
      <c r="A319" s="102"/>
      <c r="M319" s="16"/>
      <c r="U319" s="215"/>
      <c r="V319" s="824"/>
      <c r="W319" s="824"/>
      <c r="X319" s="824"/>
      <c r="Y319" s="824"/>
      <c r="Z319" s="824"/>
      <c r="AA319" s="824"/>
      <c r="AB319" s="824"/>
      <c r="AC319" s="824"/>
      <c r="AD319" s="824"/>
      <c r="AE319" s="824"/>
      <c r="AF319" s="824"/>
      <c r="AG319" s="824"/>
      <c r="AH319" s="824"/>
      <c r="AI319" s="824"/>
      <c r="AJ319" s="824"/>
      <c r="AK319" s="824"/>
      <c r="AL319" s="824"/>
      <c r="AM319" s="824"/>
      <c r="AN319" s="824"/>
      <c r="AO319" s="824"/>
      <c r="AP319" s="824"/>
      <c r="AQ319" s="824"/>
    </row>
    <row r="320" spans="1:43" s="15" customFormat="1" x14ac:dyDescent="0.25">
      <c r="A320" s="102"/>
      <c r="M320" s="16"/>
      <c r="U320" s="215"/>
      <c r="V320" s="824"/>
      <c r="W320" s="824"/>
      <c r="X320" s="824"/>
      <c r="Y320" s="824"/>
      <c r="Z320" s="824"/>
      <c r="AA320" s="824"/>
      <c r="AB320" s="824"/>
      <c r="AC320" s="824"/>
      <c r="AD320" s="824"/>
      <c r="AE320" s="824"/>
      <c r="AF320" s="824"/>
      <c r="AG320" s="824"/>
      <c r="AH320" s="824"/>
      <c r="AI320" s="824"/>
      <c r="AJ320" s="824"/>
      <c r="AK320" s="824"/>
      <c r="AL320" s="824"/>
      <c r="AM320" s="824"/>
      <c r="AN320" s="824"/>
      <c r="AO320" s="824"/>
      <c r="AP320" s="824"/>
      <c r="AQ320" s="824"/>
    </row>
    <row r="321" spans="1:43" s="15" customFormat="1" x14ac:dyDescent="0.25">
      <c r="A321" s="102"/>
      <c r="M321" s="16"/>
      <c r="U321" s="215"/>
      <c r="V321" s="824"/>
      <c r="W321" s="824"/>
      <c r="X321" s="824"/>
      <c r="Y321" s="824"/>
      <c r="Z321" s="824"/>
      <c r="AA321" s="824"/>
      <c r="AB321" s="824"/>
      <c r="AC321" s="824"/>
      <c r="AD321" s="824"/>
      <c r="AE321" s="824"/>
      <c r="AF321" s="824"/>
      <c r="AG321" s="824"/>
      <c r="AH321" s="824"/>
      <c r="AI321" s="824"/>
      <c r="AJ321" s="824"/>
      <c r="AK321" s="824"/>
      <c r="AL321" s="824"/>
      <c r="AM321" s="824"/>
      <c r="AN321" s="824"/>
      <c r="AO321" s="824"/>
      <c r="AP321" s="824"/>
      <c r="AQ321" s="824"/>
    </row>
    <row r="322" spans="1:43" s="15" customFormat="1" x14ac:dyDescent="0.25">
      <c r="A322" s="102"/>
      <c r="M322" s="16"/>
      <c r="U322" s="215"/>
      <c r="V322" s="824"/>
      <c r="W322" s="824"/>
      <c r="X322" s="824"/>
      <c r="Y322" s="824"/>
      <c r="Z322" s="824"/>
      <c r="AA322" s="824"/>
      <c r="AB322" s="824"/>
      <c r="AC322" s="824"/>
      <c r="AD322" s="824"/>
      <c r="AE322" s="824"/>
      <c r="AF322" s="824"/>
      <c r="AG322" s="824"/>
      <c r="AH322" s="824"/>
      <c r="AI322" s="824"/>
      <c r="AJ322" s="824"/>
      <c r="AK322" s="824"/>
      <c r="AL322" s="824"/>
      <c r="AM322" s="824"/>
      <c r="AN322" s="824"/>
      <c r="AO322" s="824"/>
      <c r="AP322" s="824"/>
      <c r="AQ322" s="824"/>
    </row>
    <row r="323" spans="1:43" s="15" customFormat="1" x14ac:dyDescent="0.25">
      <c r="A323" s="102"/>
      <c r="M323" s="16"/>
      <c r="U323" s="215"/>
      <c r="V323" s="824"/>
      <c r="W323" s="824"/>
      <c r="X323" s="824"/>
      <c r="Y323" s="824"/>
      <c r="Z323" s="824"/>
      <c r="AA323" s="824"/>
      <c r="AB323" s="824"/>
      <c r="AC323" s="824"/>
      <c r="AD323" s="824"/>
      <c r="AE323" s="824"/>
      <c r="AF323" s="824"/>
      <c r="AG323" s="824"/>
      <c r="AH323" s="824"/>
      <c r="AI323" s="824"/>
      <c r="AJ323" s="824"/>
      <c r="AK323" s="824"/>
      <c r="AL323" s="824"/>
      <c r="AM323" s="824"/>
      <c r="AN323" s="824"/>
      <c r="AO323" s="824"/>
      <c r="AP323" s="824"/>
      <c r="AQ323" s="824"/>
    </row>
    <row r="324" spans="1:43" s="15" customFormat="1" x14ac:dyDescent="0.25">
      <c r="A324" s="102"/>
      <c r="M324" s="16"/>
      <c r="U324" s="215"/>
      <c r="V324" s="824"/>
      <c r="W324" s="824"/>
      <c r="X324" s="824"/>
      <c r="Y324" s="824"/>
      <c r="Z324" s="824"/>
      <c r="AA324" s="824"/>
      <c r="AB324" s="824"/>
      <c r="AC324" s="824"/>
      <c r="AD324" s="824"/>
      <c r="AE324" s="824"/>
      <c r="AF324" s="824"/>
      <c r="AG324" s="824"/>
      <c r="AH324" s="824"/>
      <c r="AI324" s="824"/>
      <c r="AJ324" s="824"/>
      <c r="AK324" s="824"/>
      <c r="AL324" s="824"/>
      <c r="AM324" s="824"/>
      <c r="AN324" s="824"/>
      <c r="AO324" s="824"/>
      <c r="AP324" s="824"/>
      <c r="AQ324" s="824"/>
    </row>
    <row r="325" spans="1:43" s="15" customFormat="1" x14ac:dyDescent="0.25">
      <c r="A325" s="102"/>
      <c r="M325" s="16"/>
      <c r="U325" s="215"/>
      <c r="V325" s="824"/>
      <c r="W325" s="824"/>
      <c r="X325" s="824"/>
      <c r="Y325" s="824"/>
      <c r="Z325" s="824"/>
      <c r="AA325" s="824"/>
      <c r="AB325" s="824"/>
      <c r="AC325" s="824"/>
      <c r="AD325" s="824"/>
      <c r="AE325" s="824"/>
      <c r="AF325" s="824"/>
      <c r="AG325" s="824"/>
      <c r="AH325" s="824"/>
      <c r="AI325" s="824"/>
      <c r="AJ325" s="824"/>
      <c r="AK325" s="824"/>
      <c r="AL325" s="824"/>
      <c r="AM325" s="824"/>
      <c r="AN325" s="824"/>
      <c r="AO325" s="824"/>
      <c r="AP325" s="824"/>
      <c r="AQ325" s="824"/>
    </row>
    <row r="326" spans="1:43" s="15" customFormat="1" x14ac:dyDescent="0.25">
      <c r="A326" s="102"/>
      <c r="M326" s="16"/>
      <c r="U326" s="215"/>
      <c r="V326" s="824"/>
      <c r="W326" s="824"/>
      <c r="X326" s="824"/>
      <c r="Y326" s="824"/>
      <c r="Z326" s="824"/>
      <c r="AA326" s="824"/>
      <c r="AB326" s="824"/>
      <c r="AC326" s="824"/>
      <c r="AD326" s="824"/>
      <c r="AE326" s="824"/>
      <c r="AF326" s="824"/>
      <c r="AG326" s="824"/>
      <c r="AH326" s="824"/>
      <c r="AI326" s="824"/>
      <c r="AJ326" s="824"/>
      <c r="AK326" s="824"/>
      <c r="AL326" s="824"/>
      <c r="AM326" s="824"/>
      <c r="AN326" s="824"/>
      <c r="AO326" s="824"/>
      <c r="AP326" s="824"/>
      <c r="AQ326" s="824"/>
    </row>
    <row r="327" spans="1:43" s="15" customFormat="1" x14ac:dyDescent="0.25">
      <c r="A327" s="102"/>
      <c r="M327" s="16"/>
      <c r="U327" s="215"/>
      <c r="V327" s="824"/>
      <c r="W327" s="824"/>
      <c r="X327" s="824"/>
      <c r="Y327" s="824"/>
      <c r="Z327" s="824"/>
      <c r="AA327" s="824"/>
      <c r="AB327" s="824"/>
      <c r="AC327" s="824"/>
      <c r="AD327" s="824"/>
      <c r="AE327" s="824"/>
      <c r="AF327" s="824"/>
      <c r="AG327" s="824"/>
      <c r="AH327" s="824"/>
      <c r="AI327" s="824"/>
      <c r="AJ327" s="824"/>
      <c r="AK327" s="824"/>
      <c r="AL327" s="824"/>
      <c r="AM327" s="824"/>
      <c r="AN327" s="824"/>
      <c r="AO327" s="824"/>
      <c r="AP327" s="824"/>
      <c r="AQ327" s="824"/>
    </row>
    <row r="328" spans="1:43" s="15" customFormat="1" x14ac:dyDescent="0.25">
      <c r="A328" s="102"/>
      <c r="M328" s="16"/>
      <c r="U328" s="215"/>
      <c r="V328" s="824"/>
      <c r="W328" s="824"/>
      <c r="X328" s="824"/>
      <c r="Y328" s="824"/>
      <c r="Z328" s="824"/>
      <c r="AA328" s="824"/>
      <c r="AB328" s="824"/>
      <c r="AC328" s="824"/>
      <c r="AD328" s="824"/>
      <c r="AE328" s="824"/>
      <c r="AF328" s="824"/>
      <c r="AG328" s="824"/>
      <c r="AH328" s="824"/>
      <c r="AI328" s="824"/>
      <c r="AJ328" s="824"/>
      <c r="AK328" s="824"/>
      <c r="AL328" s="824"/>
      <c r="AM328" s="824"/>
      <c r="AN328" s="824"/>
      <c r="AO328" s="824"/>
      <c r="AP328" s="824"/>
      <c r="AQ328" s="824"/>
    </row>
    <row r="329" spans="1:43" s="15" customFormat="1" x14ac:dyDescent="0.25">
      <c r="A329" s="102"/>
      <c r="M329" s="16"/>
      <c r="U329" s="215"/>
      <c r="V329" s="824"/>
      <c r="W329" s="824"/>
      <c r="X329" s="824"/>
      <c r="Y329" s="824"/>
      <c r="Z329" s="824"/>
      <c r="AA329" s="824"/>
      <c r="AB329" s="824"/>
      <c r="AC329" s="824"/>
      <c r="AD329" s="824"/>
      <c r="AE329" s="824"/>
      <c r="AF329" s="824"/>
      <c r="AG329" s="824"/>
      <c r="AH329" s="824"/>
      <c r="AI329" s="824"/>
      <c r="AJ329" s="824"/>
      <c r="AK329" s="824"/>
      <c r="AL329" s="824"/>
      <c r="AM329" s="824"/>
      <c r="AN329" s="824"/>
      <c r="AO329" s="824"/>
      <c r="AP329" s="824"/>
      <c r="AQ329" s="824"/>
    </row>
    <row r="330" spans="1:43" s="15" customFormat="1" x14ac:dyDescent="0.25">
      <c r="A330" s="102"/>
      <c r="M330" s="16"/>
      <c r="U330" s="215"/>
      <c r="V330" s="824"/>
      <c r="W330" s="824"/>
      <c r="X330" s="824"/>
      <c r="Y330" s="824"/>
      <c r="Z330" s="824"/>
      <c r="AA330" s="824"/>
      <c r="AB330" s="824"/>
      <c r="AC330" s="824"/>
      <c r="AD330" s="824"/>
      <c r="AE330" s="824"/>
      <c r="AF330" s="824"/>
      <c r="AG330" s="824"/>
      <c r="AH330" s="824"/>
      <c r="AI330" s="824"/>
      <c r="AJ330" s="824"/>
      <c r="AK330" s="824"/>
      <c r="AL330" s="824"/>
      <c r="AM330" s="824"/>
      <c r="AN330" s="824"/>
      <c r="AO330" s="824"/>
      <c r="AP330" s="824"/>
      <c r="AQ330" s="824"/>
    </row>
    <row r="331" spans="1:43" s="15" customFormat="1" x14ac:dyDescent="0.25">
      <c r="A331" s="102"/>
      <c r="M331" s="16"/>
      <c r="U331" s="215"/>
      <c r="V331" s="824"/>
      <c r="W331" s="824"/>
      <c r="X331" s="824"/>
      <c r="Y331" s="824"/>
      <c r="Z331" s="824"/>
      <c r="AA331" s="824"/>
      <c r="AB331" s="824"/>
      <c r="AC331" s="824"/>
      <c r="AD331" s="824"/>
      <c r="AE331" s="824"/>
      <c r="AF331" s="824"/>
      <c r="AG331" s="824"/>
      <c r="AH331" s="824"/>
      <c r="AI331" s="824"/>
      <c r="AJ331" s="824"/>
      <c r="AK331" s="824"/>
      <c r="AL331" s="824"/>
      <c r="AM331" s="824"/>
      <c r="AN331" s="824"/>
      <c r="AO331" s="824"/>
      <c r="AP331" s="824"/>
      <c r="AQ331" s="824"/>
    </row>
    <row r="332" spans="1:43" s="15" customFormat="1" x14ac:dyDescent="0.25">
      <c r="A332" s="102"/>
      <c r="M332" s="16"/>
      <c r="U332" s="215"/>
      <c r="V332" s="824"/>
      <c r="W332" s="824"/>
      <c r="X332" s="824"/>
      <c r="Y332" s="824"/>
      <c r="Z332" s="824"/>
      <c r="AA332" s="824"/>
      <c r="AB332" s="824"/>
      <c r="AC332" s="824"/>
      <c r="AD332" s="824"/>
      <c r="AE332" s="824"/>
      <c r="AF332" s="824"/>
      <c r="AG332" s="824"/>
      <c r="AH332" s="824"/>
      <c r="AI332" s="824"/>
      <c r="AJ332" s="824"/>
      <c r="AK332" s="824"/>
      <c r="AL332" s="824"/>
      <c r="AM332" s="824"/>
      <c r="AN332" s="824"/>
      <c r="AO332" s="824"/>
      <c r="AP332" s="824"/>
      <c r="AQ332" s="824"/>
    </row>
    <row r="333" spans="1:43" s="15" customFormat="1" x14ac:dyDescent="0.25">
      <c r="A333" s="102"/>
      <c r="M333" s="16"/>
      <c r="U333" s="215"/>
      <c r="V333" s="824"/>
      <c r="W333" s="824"/>
      <c r="X333" s="824"/>
      <c r="Y333" s="824"/>
      <c r="Z333" s="824"/>
      <c r="AA333" s="824"/>
      <c r="AB333" s="824"/>
      <c r="AC333" s="824"/>
      <c r="AD333" s="824"/>
      <c r="AE333" s="824"/>
      <c r="AF333" s="824"/>
      <c r="AG333" s="824"/>
      <c r="AH333" s="824"/>
      <c r="AI333" s="824"/>
      <c r="AJ333" s="824"/>
      <c r="AK333" s="824"/>
      <c r="AL333" s="824"/>
      <c r="AM333" s="824"/>
      <c r="AN333" s="824"/>
      <c r="AO333" s="824"/>
      <c r="AP333" s="824"/>
      <c r="AQ333" s="824"/>
    </row>
    <row r="334" spans="1:43" s="15" customFormat="1" x14ac:dyDescent="0.25">
      <c r="A334" s="102"/>
      <c r="M334" s="16"/>
      <c r="U334" s="215"/>
      <c r="V334" s="824"/>
      <c r="W334" s="824"/>
      <c r="X334" s="824"/>
      <c r="Y334" s="824"/>
      <c r="Z334" s="824"/>
      <c r="AA334" s="824"/>
      <c r="AB334" s="824"/>
      <c r="AC334" s="824"/>
      <c r="AD334" s="824"/>
      <c r="AE334" s="824"/>
      <c r="AF334" s="824"/>
      <c r="AG334" s="824"/>
      <c r="AH334" s="824"/>
      <c r="AI334" s="824"/>
      <c r="AJ334" s="824"/>
      <c r="AK334" s="824"/>
      <c r="AL334" s="824"/>
      <c r="AM334" s="824"/>
      <c r="AN334" s="824"/>
      <c r="AO334" s="824"/>
      <c r="AP334" s="824"/>
      <c r="AQ334" s="824"/>
    </row>
    <row r="335" spans="1:43" s="15" customFormat="1" x14ac:dyDescent="0.25">
      <c r="A335" s="102"/>
      <c r="M335" s="16"/>
      <c r="U335" s="215"/>
      <c r="V335" s="824"/>
      <c r="W335" s="824"/>
      <c r="X335" s="824"/>
      <c r="Y335" s="824"/>
      <c r="Z335" s="824"/>
      <c r="AA335" s="824"/>
      <c r="AB335" s="824"/>
      <c r="AC335" s="824"/>
      <c r="AD335" s="824"/>
      <c r="AE335" s="824"/>
      <c r="AF335" s="824"/>
      <c r="AG335" s="824"/>
      <c r="AH335" s="824"/>
      <c r="AI335" s="824"/>
      <c r="AJ335" s="824"/>
      <c r="AK335" s="824"/>
      <c r="AL335" s="824"/>
      <c r="AM335" s="824"/>
      <c r="AN335" s="824"/>
      <c r="AO335" s="824"/>
      <c r="AP335" s="824"/>
      <c r="AQ335" s="824"/>
    </row>
    <row r="336" spans="1:43" s="15" customFormat="1" x14ac:dyDescent="0.25">
      <c r="A336" s="102"/>
      <c r="M336" s="16"/>
      <c r="U336" s="215"/>
      <c r="V336" s="824"/>
      <c r="W336" s="824"/>
      <c r="X336" s="824"/>
      <c r="Y336" s="824"/>
      <c r="Z336" s="824"/>
      <c r="AA336" s="824"/>
      <c r="AB336" s="824"/>
      <c r="AC336" s="824"/>
      <c r="AD336" s="824"/>
      <c r="AE336" s="824"/>
      <c r="AF336" s="824"/>
      <c r="AG336" s="824"/>
      <c r="AH336" s="824"/>
      <c r="AI336" s="824"/>
      <c r="AJ336" s="824"/>
      <c r="AK336" s="824"/>
      <c r="AL336" s="824"/>
      <c r="AM336" s="824"/>
      <c r="AN336" s="824"/>
      <c r="AO336" s="824"/>
      <c r="AP336" s="824"/>
      <c r="AQ336" s="824"/>
    </row>
    <row r="337" spans="1:43" s="15" customFormat="1" x14ac:dyDescent="0.25">
      <c r="A337" s="102"/>
      <c r="M337" s="16"/>
      <c r="U337" s="215"/>
      <c r="V337" s="824"/>
      <c r="W337" s="824"/>
      <c r="X337" s="824"/>
      <c r="Y337" s="824"/>
      <c r="Z337" s="824"/>
      <c r="AA337" s="824"/>
      <c r="AB337" s="824"/>
      <c r="AC337" s="824"/>
      <c r="AD337" s="824"/>
      <c r="AE337" s="824"/>
      <c r="AF337" s="824"/>
      <c r="AG337" s="824"/>
      <c r="AH337" s="824"/>
      <c r="AI337" s="824"/>
      <c r="AJ337" s="824"/>
      <c r="AK337" s="824"/>
      <c r="AL337" s="824"/>
      <c r="AM337" s="824"/>
      <c r="AN337" s="824"/>
      <c r="AO337" s="824"/>
      <c r="AP337" s="824"/>
      <c r="AQ337" s="824"/>
    </row>
    <row r="338" spans="1:43" s="15" customFormat="1" x14ac:dyDescent="0.25">
      <c r="A338" s="102"/>
      <c r="M338" s="16"/>
      <c r="U338" s="215"/>
      <c r="V338" s="824"/>
      <c r="W338" s="824"/>
      <c r="X338" s="824"/>
      <c r="Y338" s="824"/>
      <c r="Z338" s="824"/>
      <c r="AA338" s="824"/>
      <c r="AB338" s="824"/>
      <c r="AC338" s="824"/>
      <c r="AD338" s="824"/>
      <c r="AE338" s="824"/>
      <c r="AF338" s="824"/>
      <c r="AG338" s="824"/>
      <c r="AH338" s="824"/>
      <c r="AI338" s="824"/>
      <c r="AJ338" s="824"/>
      <c r="AK338" s="824"/>
      <c r="AL338" s="824"/>
      <c r="AM338" s="824"/>
      <c r="AN338" s="824"/>
      <c r="AO338" s="824"/>
      <c r="AP338" s="824"/>
      <c r="AQ338" s="824"/>
    </row>
    <row r="339" spans="1:43" s="15" customFormat="1" x14ac:dyDescent="0.25">
      <c r="A339" s="102"/>
      <c r="M339" s="16"/>
      <c r="U339" s="215"/>
      <c r="V339" s="824"/>
      <c r="W339" s="824"/>
      <c r="X339" s="824"/>
      <c r="Y339" s="824"/>
      <c r="Z339" s="824"/>
      <c r="AA339" s="824"/>
      <c r="AB339" s="824"/>
      <c r="AC339" s="824"/>
      <c r="AD339" s="824"/>
      <c r="AE339" s="824"/>
      <c r="AF339" s="824"/>
      <c r="AG339" s="824"/>
      <c r="AH339" s="824"/>
      <c r="AI339" s="824"/>
      <c r="AJ339" s="824"/>
      <c r="AK339" s="824"/>
      <c r="AL339" s="824"/>
      <c r="AM339" s="824"/>
      <c r="AN339" s="824"/>
      <c r="AO339" s="824"/>
      <c r="AP339" s="824"/>
      <c r="AQ339" s="824"/>
    </row>
    <row r="340" spans="1:43" s="15" customFormat="1" x14ac:dyDescent="0.25">
      <c r="A340" s="102"/>
      <c r="M340" s="16"/>
      <c r="U340" s="215"/>
      <c r="V340" s="824"/>
      <c r="W340" s="824"/>
      <c r="X340" s="824"/>
      <c r="Y340" s="824"/>
      <c r="Z340" s="824"/>
      <c r="AA340" s="824"/>
      <c r="AB340" s="824"/>
      <c r="AC340" s="824"/>
      <c r="AD340" s="824"/>
      <c r="AE340" s="824"/>
      <c r="AF340" s="824"/>
      <c r="AG340" s="824"/>
      <c r="AH340" s="824"/>
      <c r="AI340" s="824"/>
      <c r="AJ340" s="824"/>
      <c r="AK340" s="824"/>
      <c r="AL340" s="824"/>
      <c r="AM340" s="824"/>
      <c r="AN340" s="824"/>
      <c r="AO340" s="824"/>
      <c r="AP340" s="824"/>
      <c r="AQ340" s="824"/>
    </row>
    <row r="341" spans="1:43" s="15" customFormat="1" x14ac:dyDescent="0.25">
      <c r="A341" s="102"/>
      <c r="M341" s="16"/>
      <c r="U341" s="215"/>
      <c r="V341" s="824"/>
      <c r="W341" s="824"/>
      <c r="X341" s="824"/>
      <c r="Y341" s="824"/>
      <c r="Z341" s="824"/>
      <c r="AA341" s="824"/>
      <c r="AB341" s="824"/>
      <c r="AC341" s="824"/>
      <c r="AD341" s="824"/>
      <c r="AE341" s="824"/>
      <c r="AF341" s="824"/>
      <c r="AG341" s="824"/>
      <c r="AH341" s="824"/>
      <c r="AI341" s="824"/>
      <c r="AJ341" s="824"/>
      <c r="AK341" s="824"/>
      <c r="AL341" s="824"/>
      <c r="AM341" s="824"/>
      <c r="AN341" s="824"/>
      <c r="AO341" s="824"/>
      <c r="AP341" s="824"/>
      <c r="AQ341" s="824"/>
    </row>
    <row r="342" spans="1:43" s="15" customFormat="1" x14ac:dyDescent="0.25">
      <c r="A342" s="102"/>
      <c r="M342" s="16"/>
      <c r="U342" s="215"/>
      <c r="V342" s="824"/>
      <c r="W342" s="824"/>
      <c r="X342" s="824"/>
      <c r="Y342" s="824"/>
      <c r="Z342" s="824"/>
      <c r="AA342" s="824"/>
      <c r="AB342" s="824"/>
      <c r="AC342" s="824"/>
      <c r="AD342" s="824"/>
      <c r="AE342" s="824"/>
      <c r="AF342" s="824"/>
      <c r="AG342" s="824"/>
      <c r="AH342" s="824"/>
      <c r="AI342" s="824"/>
      <c r="AJ342" s="824"/>
      <c r="AK342" s="824"/>
      <c r="AL342" s="824"/>
      <c r="AM342" s="824"/>
      <c r="AN342" s="824"/>
      <c r="AO342" s="824"/>
      <c r="AP342" s="824"/>
      <c r="AQ342" s="824"/>
    </row>
    <row r="343" spans="1:43" s="15" customFormat="1" x14ac:dyDescent="0.25">
      <c r="A343" s="102"/>
      <c r="M343" s="16"/>
      <c r="U343" s="215"/>
      <c r="V343" s="824"/>
      <c r="W343" s="824"/>
      <c r="X343" s="824"/>
      <c r="Y343" s="824"/>
      <c r="Z343" s="824"/>
      <c r="AA343" s="824"/>
      <c r="AB343" s="824"/>
      <c r="AC343" s="824"/>
      <c r="AD343" s="824"/>
      <c r="AE343" s="824"/>
      <c r="AF343" s="824"/>
      <c r="AG343" s="824"/>
      <c r="AH343" s="824"/>
      <c r="AI343" s="824"/>
      <c r="AJ343" s="824"/>
      <c r="AK343" s="824"/>
      <c r="AL343" s="824"/>
      <c r="AM343" s="824"/>
      <c r="AN343" s="824"/>
      <c r="AO343" s="824"/>
      <c r="AP343" s="824"/>
      <c r="AQ343" s="824"/>
    </row>
    <row r="344" spans="1:43" s="15" customFormat="1" x14ac:dyDescent="0.25">
      <c r="A344" s="102"/>
      <c r="M344" s="16"/>
      <c r="U344" s="215"/>
      <c r="V344" s="824"/>
      <c r="W344" s="824"/>
      <c r="X344" s="824"/>
      <c r="Y344" s="824"/>
      <c r="Z344" s="824"/>
      <c r="AA344" s="824"/>
      <c r="AB344" s="824"/>
      <c r="AC344" s="824"/>
      <c r="AD344" s="824"/>
      <c r="AE344" s="824"/>
      <c r="AF344" s="824"/>
      <c r="AG344" s="824"/>
      <c r="AH344" s="824"/>
      <c r="AI344" s="824"/>
      <c r="AJ344" s="824"/>
      <c r="AK344" s="824"/>
      <c r="AL344" s="824"/>
      <c r="AM344" s="824"/>
      <c r="AN344" s="824"/>
      <c r="AO344" s="824"/>
      <c r="AP344" s="824"/>
      <c r="AQ344" s="824"/>
    </row>
    <row r="345" spans="1:43" s="15" customFormat="1" x14ac:dyDescent="0.25">
      <c r="A345" s="102"/>
      <c r="M345" s="16"/>
      <c r="U345" s="215"/>
      <c r="V345" s="824"/>
      <c r="W345" s="824"/>
      <c r="X345" s="824"/>
      <c r="Y345" s="824"/>
      <c r="Z345" s="824"/>
      <c r="AA345" s="824"/>
      <c r="AB345" s="824"/>
      <c r="AC345" s="824"/>
      <c r="AD345" s="824"/>
      <c r="AE345" s="824"/>
      <c r="AF345" s="824"/>
      <c r="AG345" s="824"/>
      <c r="AH345" s="824"/>
      <c r="AI345" s="824"/>
      <c r="AJ345" s="824"/>
      <c r="AK345" s="824"/>
      <c r="AL345" s="824"/>
      <c r="AM345" s="824"/>
      <c r="AN345" s="824"/>
      <c r="AO345" s="824"/>
      <c r="AP345" s="824"/>
      <c r="AQ345" s="824"/>
    </row>
    <row r="346" spans="1:43" s="15" customFormat="1" x14ac:dyDescent="0.25">
      <c r="A346" s="102"/>
      <c r="M346" s="16"/>
      <c r="U346" s="215"/>
      <c r="V346" s="824"/>
      <c r="W346" s="824"/>
      <c r="X346" s="824"/>
      <c r="Y346" s="824"/>
      <c r="Z346" s="824"/>
      <c r="AA346" s="824"/>
      <c r="AB346" s="824"/>
      <c r="AC346" s="824"/>
      <c r="AD346" s="824"/>
      <c r="AE346" s="824"/>
      <c r="AF346" s="824"/>
      <c r="AG346" s="824"/>
      <c r="AH346" s="824"/>
      <c r="AI346" s="824"/>
      <c r="AJ346" s="824"/>
      <c r="AK346" s="824"/>
      <c r="AL346" s="824"/>
      <c r="AM346" s="824"/>
      <c r="AN346" s="824"/>
      <c r="AO346" s="824"/>
      <c r="AP346" s="824"/>
      <c r="AQ346" s="824"/>
    </row>
    <row r="347" spans="1:43" s="15" customFormat="1" x14ac:dyDescent="0.25">
      <c r="A347" s="102"/>
      <c r="M347" s="16"/>
      <c r="U347" s="215"/>
      <c r="V347" s="824"/>
      <c r="W347" s="824"/>
      <c r="X347" s="824"/>
      <c r="Y347" s="824"/>
      <c r="Z347" s="824"/>
      <c r="AA347" s="824"/>
      <c r="AB347" s="824"/>
      <c r="AC347" s="824"/>
      <c r="AD347" s="824"/>
      <c r="AE347" s="824"/>
      <c r="AF347" s="824"/>
      <c r="AG347" s="824"/>
      <c r="AH347" s="824"/>
      <c r="AI347" s="824"/>
      <c r="AJ347" s="824"/>
      <c r="AK347" s="824"/>
      <c r="AL347" s="824"/>
      <c r="AM347" s="824"/>
      <c r="AN347" s="824"/>
      <c r="AO347" s="824"/>
      <c r="AP347" s="824"/>
      <c r="AQ347" s="824"/>
    </row>
    <row r="348" spans="1:43" s="15" customFormat="1" x14ac:dyDescent="0.25">
      <c r="A348" s="102"/>
      <c r="M348" s="16"/>
      <c r="U348" s="215"/>
      <c r="V348" s="824"/>
      <c r="W348" s="824"/>
      <c r="X348" s="824"/>
      <c r="Y348" s="824"/>
      <c r="Z348" s="824"/>
      <c r="AA348" s="824"/>
      <c r="AB348" s="824"/>
      <c r="AC348" s="824"/>
      <c r="AD348" s="824"/>
      <c r="AE348" s="824"/>
      <c r="AF348" s="824"/>
      <c r="AG348" s="824"/>
      <c r="AH348" s="824"/>
      <c r="AI348" s="824"/>
      <c r="AJ348" s="824"/>
      <c r="AK348" s="824"/>
      <c r="AL348" s="824"/>
      <c r="AM348" s="824"/>
      <c r="AN348" s="824"/>
      <c r="AO348" s="824"/>
      <c r="AP348" s="824"/>
      <c r="AQ348" s="824"/>
    </row>
    <row r="349" spans="1:43" s="15" customFormat="1" x14ac:dyDescent="0.25">
      <c r="A349" s="102"/>
      <c r="M349" s="16"/>
      <c r="U349" s="215"/>
      <c r="V349" s="824"/>
      <c r="W349" s="824"/>
      <c r="X349" s="824"/>
      <c r="Y349" s="824"/>
      <c r="Z349" s="824"/>
      <c r="AA349" s="824"/>
      <c r="AB349" s="824"/>
      <c r="AC349" s="824"/>
      <c r="AD349" s="824"/>
      <c r="AE349" s="824"/>
      <c r="AF349" s="824"/>
      <c r="AG349" s="824"/>
      <c r="AH349" s="824"/>
      <c r="AI349" s="824"/>
      <c r="AJ349" s="824"/>
      <c r="AK349" s="824"/>
      <c r="AL349" s="824"/>
      <c r="AM349" s="824"/>
      <c r="AN349" s="824"/>
      <c r="AO349" s="824"/>
      <c r="AP349" s="824"/>
      <c r="AQ349" s="824"/>
    </row>
    <row r="350" spans="1:43" s="15" customFormat="1" x14ac:dyDescent="0.25">
      <c r="A350" s="102"/>
      <c r="M350" s="16"/>
      <c r="U350" s="215"/>
      <c r="V350" s="824"/>
      <c r="W350" s="824"/>
      <c r="X350" s="824"/>
      <c r="Y350" s="824"/>
      <c r="Z350" s="824"/>
      <c r="AA350" s="824"/>
      <c r="AB350" s="824"/>
      <c r="AC350" s="824"/>
      <c r="AD350" s="824"/>
      <c r="AE350" s="824"/>
      <c r="AF350" s="824"/>
      <c r="AG350" s="824"/>
      <c r="AH350" s="824"/>
      <c r="AI350" s="824"/>
      <c r="AJ350" s="824"/>
      <c r="AK350" s="824"/>
      <c r="AL350" s="824"/>
      <c r="AM350" s="824"/>
      <c r="AN350" s="824"/>
      <c r="AO350" s="824"/>
      <c r="AP350" s="824"/>
      <c r="AQ350" s="824"/>
    </row>
    <row r="351" spans="1:43" s="15" customFormat="1" x14ac:dyDescent="0.25">
      <c r="A351" s="102"/>
      <c r="M351" s="16"/>
      <c r="U351" s="215"/>
      <c r="V351" s="824"/>
      <c r="W351" s="824"/>
      <c r="X351" s="824"/>
      <c r="Y351" s="824"/>
      <c r="Z351" s="824"/>
      <c r="AA351" s="824"/>
      <c r="AB351" s="824"/>
      <c r="AC351" s="824"/>
      <c r="AD351" s="824"/>
      <c r="AE351" s="824"/>
      <c r="AF351" s="824"/>
      <c r="AG351" s="824"/>
      <c r="AH351" s="824"/>
      <c r="AI351" s="824"/>
      <c r="AJ351" s="824"/>
      <c r="AK351" s="824"/>
      <c r="AL351" s="824"/>
      <c r="AM351" s="824"/>
      <c r="AN351" s="824"/>
      <c r="AO351" s="824"/>
      <c r="AP351" s="824"/>
      <c r="AQ351" s="824"/>
    </row>
    <row r="352" spans="1:43" s="15" customFormat="1" x14ac:dyDescent="0.25">
      <c r="A352" s="102"/>
      <c r="M352" s="16"/>
      <c r="U352" s="215"/>
      <c r="V352" s="824"/>
      <c r="W352" s="824"/>
      <c r="X352" s="824"/>
      <c r="Y352" s="824"/>
      <c r="Z352" s="824"/>
      <c r="AA352" s="824"/>
      <c r="AB352" s="824"/>
      <c r="AC352" s="824"/>
      <c r="AD352" s="824"/>
      <c r="AE352" s="824"/>
      <c r="AF352" s="824"/>
      <c r="AG352" s="824"/>
      <c r="AH352" s="824"/>
      <c r="AI352" s="824"/>
      <c r="AJ352" s="824"/>
      <c r="AK352" s="824"/>
      <c r="AL352" s="824"/>
      <c r="AM352" s="824"/>
      <c r="AN352" s="824"/>
      <c r="AO352" s="824"/>
      <c r="AP352" s="824"/>
      <c r="AQ352" s="824"/>
    </row>
    <row r="353" spans="1:43" s="15" customFormat="1" x14ac:dyDescent="0.25">
      <c r="A353" s="102"/>
      <c r="M353" s="16"/>
      <c r="U353" s="215"/>
      <c r="V353" s="824"/>
      <c r="W353" s="824"/>
      <c r="X353" s="824"/>
      <c r="Y353" s="824"/>
      <c r="Z353" s="824"/>
      <c r="AA353" s="824"/>
      <c r="AB353" s="824"/>
      <c r="AC353" s="824"/>
      <c r="AD353" s="824"/>
      <c r="AE353" s="824"/>
      <c r="AF353" s="824"/>
      <c r="AG353" s="824"/>
      <c r="AH353" s="824"/>
      <c r="AI353" s="824"/>
      <c r="AJ353" s="824"/>
      <c r="AK353" s="824"/>
      <c r="AL353" s="824"/>
      <c r="AM353" s="824"/>
      <c r="AN353" s="824"/>
      <c r="AO353" s="824"/>
      <c r="AP353" s="824"/>
      <c r="AQ353" s="824"/>
    </row>
    <row r="354" spans="1:43" s="15" customFormat="1" x14ac:dyDescent="0.25">
      <c r="A354" s="102"/>
      <c r="M354" s="16"/>
      <c r="U354" s="215"/>
      <c r="V354" s="824"/>
      <c r="W354" s="824"/>
      <c r="X354" s="824"/>
      <c r="Y354" s="824"/>
      <c r="Z354" s="824"/>
      <c r="AA354" s="824"/>
      <c r="AB354" s="824"/>
      <c r="AC354" s="824"/>
      <c r="AD354" s="824"/>
      <c r="AE354" s="824"/>
      <c r="AF354" s="824"/>
      <c r="AG354" s="824"/>
      <c r="AH354" s="824"/>
      <c r="AI354" s="824"/>
      <c r="AJ354" s="824"/>
      <c r="AK354" s="824"/>
      <c r="AL354" s="824"/>
      <c r="AM354" s="824"/>
      <c r="AN354" s="824"/>
      <c r="AO354" s="824"/>
      <c r="AP354" s="824"/>
      <c r="AQ354" s="824"/>
    </row>
    <row r="355" spans="1:43" s="15" customFormat="1" x14ac:dyDescent="0.25">
      <c r="A355" s="102"/>
      <c r="M355" s="16"/>
      <c r="U355" s="215"/>
      <c r="V355" s="824"/>
      <c r="W355" s="824"/>
      <c r="X355" s="824"/>
      <c r="Y355" s="824"/>
      <c r="Z355" s="824"/>
      <c r="AA355" s="824"/>
      <c r="AB355" s="824"/>
      <c r="AC355" s="824"/>
      <c r="AD355" s="824"/>
      <c r="AE355" s="824"/>
      <c r="AF355" s="824"/>
      <c r="AG355" s="824"/>
      <c r="AH355" s="824"/>
      <c r="AI355" s="824"/>
      <c r="AJ355" s="824"/>
      <c r="AK355" s="824"/>
      <c r="AL355" s="824"/>
      <c r="AM355" s="824"/>
      <c r="AN355" s="824"/>
      <c r="AO355" s="824"/>
      <c r="AP355" s="824"/>
      <c r="AQ355" s="824"/>
    </row>
    <row r="356" spans="1:43" s="15" customFormat="1" x14ac:dyDescent="0.25">
      <c r="A356" s="102"/>
      <c r="M356" s="16"/>
      <c r="U356" s="215"/>
      <c r="V356" s="824"/>
      <c r="W356" s="824"/>
      <c r="X356" s="824"/>
      <c r="Y356" s="824"/>
      <c r="Z356" s="824"/>
      <c r="AA356" s="824"/>
      <c r="AB356" s="824"/>
      <c r="AC356" s="824"/>
      <c r="AD356" s="824"/>
      <c r="AE356" s="824"/>
      <c r="AF356" s="824"/>
      <c r="AG356" s="824"/>
      <c r="AH356" s="824"/>
      <c r="AI356" s="824"/>
      <c r="AJ356" s="824"/>
      <c r="AK356" s="824"/>
      <c r="AL356" s="824"/>
      <c r="AM356" s="824"/>
      <c r="AN356" s="824"/>
      <c r="AO356" s="824"/>
      <c r="AP356" s="824"/>
      <c r="AQ356" s="824"/>
    </row>
    <row r="357" spans="1:43" s="15" customFormat="1" x14ac:dyDescent="0.25">
      <c r="A357" s="102"/>
      <c r="M357" s="16"/>
      <c r="U357" s="215"/>
      <c r="V357" s="824"/>
      <c r="W357" s="824"/>
      <c r="X357" s="824"/>
      <c r="Y357" s="824"/>
      <c r="Z357" s="824"/>
      <c r="AA357" s="824"/>
      <c r="AB357" s="824"/>
      <c r="AC357" s="824"/>
      <c r="AD357" s="824"/>
      <c r="AE357" s="824"/>
      <c r="AF357" s="824"/>
      <c r="AG357" s="824"/>
      <c r="AH357" s="824"/>
      <c r="AI357" s="824"/>
      <c r="AJ357" s="824"/>
      <c r="AK357" s="824"/>
      <c r="AL357" s="824"/>
      <c r="AM357" s="824"/>
      <c r="AN357" s="824"/>
      <c r="AO357" s="824"/>
      <c r="AP357" s="824"/>
      <c r="AQ357" s="824"/>
    </row>
    <row r="358" spans="1:43" s="15" customFormat="1" x14ac:dyDescent="0.25">
      <c r="A358" s="102"/>
      <c r="M358" s="16"/>
      <c r="U358" s="215"/>
      <c r="V358" s="824"/>
      <c r="W358" s="824"/>
      <c r="X358" s="824"/>
      <c r="Y358" s="824"/>
      <c r="Z358" s="824"/>
      <c r="AA358" s="824"/>
      <c r="AB358" s="824"/>
      <c r="AC358" s="824"/>
      <c r="AD358" s="824"/>
      <c r="AE358" s="824"/>
      <c r="AF358" s="824"/>
      <c r="AG358" s="824"/>
      <c r="AH358" s="824"/>
      <c r="AI358" s="824"/>
      <c r="AJ358" s="824"/>
      <c r="AK358" s="824"/>
      <c r="AL358" s="824"/>
      <c r="AM358" s="824"/>
      <c r="AN358" s="824"/>
      <c r="AO358" s="824"/>
      <c r="AP358" s="824"/>
      <c r="AQ358" s="824"/>
    </row>
    <row r="359" spans="1:43" s="15" customFormat="1" x14ac:dyDescent="0.25">
      <c r="A359" s="102"/>
      <c r="M359" s="16"/>
      <c r="U359" s="215"/>
      <c r="V359" s="824"/>
      <c r="W359" s="824"/>
      <c r="X359" s="824"/>
      <c r="Y359" s="824"/>
      <c r="Z359" s="824"/>
      <c r="AA359" s="824"/>
      <c r="AB359" s="824"/>
      <c r="AC359" s="824"/>
      <c r="AD359" s="824"/>
      <c r="AE359" s="824"/>
      <c r="AF359" s="824"/>
      <c r="AG359" s="824"/>
      <c r="AH359" s="824"/>
      <c r="AI359" s="824"/>
      <c r="AJ359" s="824"/>
      <c r="AK359" s="824"/>
      <c r="AL359" s="824"/>
      <c r="AM359" s="824"/>
      <c r="AN359" s="824"/>
      <c r="AO359" s="824"/>
      <c r="AP359" s="824"/>
      <c r="AQ359" s="824"/>
    </row>
    <row r="360" spans="1:43" s="15" customFormat="1" x14ac:dyDescent="0.25">
      <c r="A360" s="102"/>
      <c r="M360" s="16"/>
      <c r="U360" s="215"/>
      <c r="V360" s="824"/>
      <c r="W360" s="824"/>
      <c r="X360" s="824"/>
      <c r="Y360" s="824"/>
      <c r="Z360" s="824"/>
      <c r="AA360" s="824"/>
      <c r="AB360" s="824"/>
      <c r="AC360" s="824"/>
      <c r="AD360" s="824"/>
      <c r="AE360" s="824"/>
      <c r="AF360" s="824"/>
      <c r="AG360" s="824"/>
      <c r="AH360" s="824"/>
      <c r="AI360" s="824"/>
      <c r="AJ360" s="824"/>
      <c r="AK360" s="824"/>
      <c r="AL360" s="824"/>
      <c r="AM360" s="824"/>
      <c r="AN360" s="824"/>
      <c r="AO360" s="824"/>
      <c r="AP360" s="824"/>
      <c r="AQ360" s="824"/>
    </row>
    <row r="361" spans="1:43" s="15" customFormat="1" x14ac:dyDescent="0.25">
      <c r="A361" s="102"/>
      <c r="M361" s="16"/>
      <c r="U361" s="215"/>
      <c r="V361" s="824"/>
      <c r="W361" s="824"/>
      <c r="X361" s="824"/>
      <c r="Y361" s="824"/>
      <c r="Z361" s="824"/>
      <c r="AA361" s="824"/>
      <c r="AB361" s="824"/>
      <c r="AC361" s="824"/>
      <c r="AD361" s="824"/>
      <c r="AE361" s="824"/>
      <c r="AF361" s="824"/>
      <c r="AG361" s="824"/>
      <c r="AH361" s="824"/>
      <c r="AI361" s="824"/>
      <c r="AJ361" s="824"/>
      <c r="AK361" s="824"/>
      <c r="AL361" s="824"/>
      <c r="AM361" s="824"/>
      <c r="AN361" s="824"/>
      <c r="AO361" s="824"/>
      <c r="AP361" s="824"/>
      <c r="AQ361" s="824"/>
    </row>
    <row r="362" spans="1:43" s="15" customFormat="1" x14ac:dyDescent="0.25">
      <c r="A362" s="102"/>
      <c r="M362" s="16"/>
      <c r="U362" s="215"/>
      <c r="V362" s="824"/>
      <c r="W362" s="824"/>
      <c r="X362" s="824"/>
      <c r="Y362" s="824"/>
      <c r="Z362" s="824"/>
      <c r="AA362" s="824"/>
      <c r="AB362" s="824"/>
      <c r="AC362" s="824"/>
      <c r="AD362" s="824"/>
      <c r="AE362" s="824"/>
      <c r="AF362" s="824"/>
      <c r="AG362" s="824"/>
      <c r="AH362" s="824"/>
      <c r="AI362" s="824"/>
      <c r="AJ362" s="824"/>
      <c r="AK362" s="824"/>
      <c r="AL362" s="824"/>
      <c r="AM362" s="824"/>
      <c r="AN362" s="824"/>
      <c r="AO362" s="824"/>
      <c r="AP362" s="824"/>
      <c r="AQ362" s="824"/>
    </row>
    <row r="363" spans="1:43" s="15" customFormat="1" x14ac:dyDescent="0.25">
      <c r="A363" s="102"/>
      <c r="M363" s="16"/>
      <c r="U363" s="215"/>
      <c r="V363" s="824"/>
      <c r="W363" s="824"/>
      <c r="X363" s="824"/>
      <c r="Y363" s="824"/>
      <c r="Z363" s="824"/>
      <c r="AA363" s="824"/>
      <c r="AB363" s="824"/>
      <c r="AC363" s="824"/>
      <c r="AD363" s="824"/>
      <c r="AE363" s="824"/>
      <c r="AF363" s="824"/>
      <c r="AG363" s="824"/>
      <c r="AH363" s="824"/>
      <c r="AI363" s="824"/>
      <c r="AJ363" s="824"/>
      <c r="AK363" s="824"/>
      <c r="AL363" s="824"/>
      <c r="AM363" s="824"/>
      <c r="AN363" s="824"/>
      <c r="AO363" s="824"/>
      <c r="AP363" s="824"/>
      <c r="AQ363" s="824"/>
    </row>
    <row r="364" spans="1:43" s="15" customFormat="1" x14ac:dyDescent="0.25">
      <c r="A364" s="102"/>
      <c r="M364" s="16"/>
      <c r="U364" s="215"/>
      <c r="V364" s="824"/>
      <c r="W364" s="824"/>
      <c r="X364" s="824"/>
      <c r="Y364" s="824"/>
      <c r="Z364" s="824"/>
      <c r="AA364" s="824"/>
      <c r="AB364" s="824"/>
      <c r="AC364" s="824"/>
      <c r="AD364" s="824"/>
      <c r="AE364" s="824"/>
      <c r="AF364" s="824"/>
      <c r="AG364" s="824"/>
      <c r="AH364" s="824"/>
      <c r="AI364" s="824"/>
      <c r="AJ364" s="824"/>
      <c r="AK364" s="824"/>
      <c r="AL364" s="824"/>
      <c r="AM364" s="824"/>
      <c r="AN364" s="824"/>
      <c r="AO364" s="824"/>
      <c r="AP364" s="824"/>
      <c r="AQ364" s="824"/>
    </row>
    <row r="365" spans="1:43" s="15" customFormat="1" x14ac:dyDescent="0.25">
      <c r="A365" s="102"/>
      <c r="M365" s="16"/>
      <c r="U365" s="215"/>
      <c r="V365" s="824"/>
      <c r="W365" s="824"/>
      <c r="X365" s="824"/>
      <c r="Y365" s="824"/>
      <c r="Z365" s="824"/>
      <c r="AA365" s="824"/>
      <c r="AB365" s="824"/>
      <c r="AC365" s="824"/>
      <c r="AD365" s="824"/>
      <c r="AE365" s="824"/>
      <c r="AF365" s="824"/>
      <c r="AG365" s="824"/>
      <c r="AH365" s="824"/>
      <c r="AI365" s="824"/>
      <c r="AJ365" s="824"/>
      <c r="AK365" s="824"/>
      <c r="AL365" s="824"/>
      <c r="AM365" s="824"/>
      <c r="AN365" s="824"/>
      <c r="AO365" s="824"/>
      <c r="AP365" s="824"/>
      <c r="AQ365" s="824"/>
    </row>
    <row r="366" spans="1:43" s="15" customFormat="1" x14ac:dyDescent="0.25">
      <c r="A366" s="102"/>
      <c r="M366" s="16"/>
      <c r="U366" s="215"/>
      <c r="V366" s="824"/>
      <c r="W366" s="824"/>
      <c r="X366" s="824"/>
      <c r="Y366" s="824"/>
      <c r="Z366" s="824"/>
      <c r="AA366" s="824"/>
      <c r="AB366" s="824"/>
      <c r="AC366" s="824"/>
      <c r="AD366" s="824"/>
      <c r="AE366" s="824"/>
      <c r="AF366" s="824"/>
      <c r="AG366" s="824"/>
      <c r="AH366" s="824"/>
      <c r="AI366" s="824"/>
      <c r="AJ366" s="824"/>
      <c r="AK366" s="824"/>
      <c r="AL366" s="824"/>
      <c r="AM366" s="824"/>
      <c r="AN366" s="824"/>
      <c r="AO366" s="824"/>
      <c r="AP366" s="824"/>
      <c r="AQ366" s="824"/>
    </row>
    <row r="367" spans="1:43" s="15" customFormat="1" x14ac:dyDescent="0.25">
      <c r="A367" s="102"/>
      <c r="M367" s="16"/>
      <c r="U367" s="215"/>
      <c r="V367" s="824"/>
      <c r="W367" s="824"/>
      <c r="X367" s="824"/>
      <c r="Y367" s="824"/>
      <c r="Z367" s="824"/>
      <c r="AA367" s="824"/>
      <c r="AB367" s="824"/>
      <c r="AC367" s="824"/>
      <c r="AD367" s="824"/>
      <c r="AE367" s="824"/>
      <c r="AF367" s="824"/>
      <c r="AG367" s="824"/>
      <c r="AH367" s="824"/>
      <c r="AI367" s="824"/>
      <c r="AJ367" s="824"/>
      <c r="AK367" s="824"/>
      <c r="AL367" s="824"/>
      <c r="AM367" s="824"/>
      <c r="AN367" s="824"/>
      <c r="AO367" s="824"/>
      <c r="AP367" s="824"/>
      <c r="AQ367" s="824"/>
    </row>
    <row r="368" spans="1:43" s="15" customFormat="1" x14ac:dyDescent="0.25">
      <c r="A368" s="102"/>
      <c r="M368" s="16"/>
      <c r="U368" s="215"/>
      <c r="V368" s="824"/>
      <c r="W368" s="824"/>
      <c r="X368" s="824"/>
      <c r="Y368" s="824"/>
      <c r="Z368" s="824"/>
      <c r="AA368" s="824"/>
      <c r="AB368" s="824"/>
      <c r="AC368" s="824"/>
      <c r="AD368" s="824"/>
      <c r="AE368" s="824"/>
      <c r="AF368" s="824"/>
      <c r="AG368" s="824"/>
      <c r="AH368" s="824"/>
      <c r="AI368" s="824"/>
      <c r="AJ368" s="824"/>
      <c r="AK368" s="824"/>
      <c r="AL368" s="824"/>
      <c r="AM368" s="824"/>
      <c r="AN368" s="824"/>
      <c r="AO368" s="824"/>
      <c r="AP368" s="824"/>
      <c r="AQ368" s="824"/>
    </row>
    <row r="369" spans="1:43" s="15" customFormat="1" x14ac:dyDescent="0.25">
      <c r="A369" s="102"/>
      <c r="M369" s="16"/>
      <c r="U369" s="215"/>
      <c r="V369" s="824"/>
      <c r="W369" s="824"/>
      <c r="X369" s="824"/>
      <c r="Y369" s="824"/>
      <c r="Z369" s="824"/>
      <c r="AA369" s="824"/>
      <c r="AB369" s="824"/>
      <c r="AC369" s="824"/>
      <c r="AD369" s="824"/>
      <c r="AE369" s="824"/>
      <c r="AF369" s="824"/>
      <c r="AG369" s="824"/>
      <c r="AH369" s="824"/>
      <c r="AI369" s="824"/>
      <c r="AJ369" s="824"/>
      <c r="AK369" s="824"/>
      <c r="AL369" s="824"/>
      <c r="AM369" s="824"/>
      <c r="AN369" s="824"/>
      <c r="AO369" s="824"/>
      <c r="AP369" s="824"/>
      <c r="AQ369" s="824"/>
    </row>
    <row r="370" spans="1:43" s="15" customFormat="1" x14ac:dyDescent="0.25">
      <c r="A370" s="102"/>
      <c r="M370" s="16"/>
      <c r="U370" s="215"/>
      <c r="V370" s="824"/>
      <c r="W370" s="824"/>
      <c r="X370" s="824"/>
      <c r="Y370" s="824"/>
      <c r="Z370" s="824"/>
      <c r="AA370" s="824"/>
      <c r="AB370" s="824"/>
      <c r="AC370" s="824"/>
      <c r="AD370" s="824"/>
      <c r="AE370" s="824"/>
      <c r="AF370" s="824"/>
      <c r="AG370" s="824"/>
      <c r="AH370" s="824"/>
      <c r="AI370" s="824"/>
      <c r="AJ370" s="824"/>
      <c r="AK370" s="824"/>
      <c r="AL370" s="824"/>
      <c r="AM370" s="824"/>
      <c r="AN370" s="824"/>
      <c r="AO370" s="824"/>
      <c r="AP370" s="824"/>
      <c r="AQ370" s="824"/>
    </row>
    <row r="371" spans="1:43" s="15" customFormat="1" x14ac:dyDescent="0.25">
      <c r="A371" s="102"/>
      <c r="M371" s="16"/>
      <c r="U371" s="215"/>
      <c r="V371" s="824"/>
      <c r="W371" s="824"/>
      <c r="X371" s="824"/>
      <c r="Y371" s="824"/>
      <c r="Z371" s="824"/>
      <c r="AA371" s="824"/>
      <c r="AB371" s="824"/>
      <c r="AC371" s="824"/>
      <c r="AD371" s="824"/>
      <c r="AE371" s="824"/>
      <c r="AF371" s="824"/>
      <c r="AG371" s="824"/>
      <c r="AH371" s="824"/>
      <c r="AI371" s="824"/>
      <c r="AJ371" s="824"/>
      <c r="AK371" s="824"/>
      <c r="AL371" s="824"/>
      <c r="AM371" s="824"/>
      <c r="AN371" s="824"/>
      <c r="AO371" s="824"/>
      <c r="AP371" s="824"/>
      <c r="AQ371" s="824"/>
    </row>
    <row r="372" spans="1:43" s="15" customFormat="1" x14ac:dyDescent="0.25">
      <c r="A372" s="102"/>
      <c r="M372" s="16"/>
      <c r="U372" s="215"/>
      <c r="V372" s="824"/>
      <c r="W372" s="824"/>
      <c r="X372" s="824"/>
      <c r="Y372" s="824"/>
      <c r="Z372" s="824"/>
      <c r="AA372" s="824"/>
      <c r="AB372" s="824"/>
      <c r="AC372" s="824"/>
      <c r="AD372" s="824"/>
      <c r="AE372" s="824"/>
      <c r="AF372" s="824"/>
      <c r="AG372" s="824"/>
      <c r="AH372" s="824"/>
      <c r="AI372" s="824"/>
      <c r="AJ372" s="824"/>
      <c r="AK372" s="824"/>
      <c r="AL372" s="824"/>
      <c r="AM372" s="824"/>
      <c r="AN372" s="824"/>
      <c r="AO372" s="824"/>
      <c r="AP372" s="824"/>
      <c r="AQ372" s="824"/>
    </row>
    <row r="373" spans="1:43" s="15" customFormat="1" x14ac:dyDescent="0.25">
      <c r="A373" s="102"/>
      <c r="M373" s="16"/>
      <c r="U373" s="215"/>
      <c r="V373" s="824"/>
      <c r="W373" s="824"/>
      <c r="X373" s="824"/>
      <c r="Y373" s="824"/>
      <c r="Z373" s="824"/>
      <c r="AA373" s="824"/>
      <c r="AB373" s="824"/>
      <c r="AC373" s="824"/>
      <c r="AD373" s="824"/>
      <c r="AE373" s="824"/>
      <c r="AF373" s="824"/>
      <c r="AG373" s="824"/>
      <c r="AH373" s="824"/>
      <c r="AI373" s="824"/>
      <c r="AJ373" s="824"/>
      <c r="AK373" s="824"/>
      <c r="AL373" s="824"/>
      <c r="AM373" s="824"/>
      <c r="AN373" s="824"/>
      <c r="AO373" s="824"/>
      <c r="AP373" s="824"/>
      <c r="AQ373" s="824"/>
    </row>
    <row r="374" spans="1:43" s="15" customFormat="1" x14ac:dyDescent="0.25">
      <c r="A374" s="102"/>
      <c r="M374" s="16"/>
      <c r="U374" s="215"/>
      <c r="V374" s="824"/>
      <c r="W374" s="824"/>
      <c r="X374" s="824"/>
      <c r="Y374" s="824"/>
      <c r="Z374" s="824"/>
      <c r="AA374" s="824"/>
      <c r="AB374" s="824"/>
      <c r="AC374" s="824"/>
      <c r="AD374" s="824"/>
      <c r="AE374" s="824"/>
      <c r="AF374" s="824"/>
      <c r="AG374" s="824"/>
      <c r="AH374" s="824"/>
      <c r="AI374" s="824"/>
      <c r="AJ374" s="824"/>
      <c r="AK374" s="824"/>
      <c r="AL374" s="824"/>
      <c r="AM374" s="824"/>
      <c r="AN374" s="824"/>
      <c r="AO374" s="824"/>
      <c r="AP374" s="824"/>
      <c r="AQ374" s="824"/>
    </row>
    <row r="375" spans="1:43" s="15" customFormat="1" x14ac:dyDescent="0.25">
      <c r="A375" s="102"/>
      <c r="M375" s="16"/>
      <c r="U375" s="215"/>
      <c r="V375" s="824"/>
      <c r="W375" s="824"/>
      <c r="X375" s="824"/>
      <c r="Y375" s="824"/>
      <c r="Z375" s="824"/>
      <c r="AA375" s="824"/>
      <c r="AB375" s="824"/>
      <c r="AC375" s="824"/>
      <c r="AD375" s="824"/>
      <c r="AE375" s="824"/>
      <c r="AF375" s="824"/>
      <c r="AG375" s="824"/>
      <c r="AH375" s="824"/>
      <c r="AI375" s="824"/>
      <c r="AJ375" s="824"/>
      <c r="AK375" s="824"/>
      <c r="AL375" s="824"/>
      <c r="AM375" s="824"/>
      <c r="AN375" s="824"/>
      <c r="AO375" s="824"/>
      <c r="AP375" s="824"/>
      <c r="AQ375" s="824"/>
    </row>
    <row r="376" spans="1:43" s="15" customFormat="1" x14ac:dyDescent="0.25">
      <c r="A376" s="102"/>
      <c r="M376" s="16"/>
      <c r="U376" s="215"/>
      <c r="V376" s="824"/>
      <c r="W376" s="824"/>
      <c r="X376" s="824"/>
      <c r="Y376" s="824"/>
      <c r="Z376" s="824"/>
      <c r="AA376" s="824"/>
      <c r="AB376" s="824"/>
      <c r="AC376" s="824"/>
      <c r="AD376" s="824"/>
      <c r="AE376" s="824"/>
      <c r="AF376" s="824"/>
      <c r="AG376" s="824"/>
      <c r="AH376" s="824"/>
      <c r="AI376" s="824"/>
      <c r="AJ376" s="824"/>
      <c r="AK376" s="824"/>
      <c r="AL376" s="824"/>
      <c r="AM376" s="824"/>
      <c r="AN376" s="824"/>
      <c r="AO376" s="824"/>
      <c r="AP376" s="824"/>
      <c r="AQ376" s="824"/>
    </row>
    <row r="377" spans="1:43" s="15" customFormat="1" x14ac:dyDescent="0.25">
      <c r="A377" s="102"/>
      <c r="M377" s="16"/>
      <c r="U377" s="215"/>
      <c r="V377" s="824"/>
      <c r="W377" s="824"/>
      <c r="X377" s="824"/>
      <c r="Y377" s="824"/>
      <c r="Z377" s="824"/>
      <c r="AA377" s="824"/>
      <c r="AB377" s="824"/>
      <c r="AC377" s="824"/>
      <c r="AD377" s="824"/>
      <c r="AE377" s="824"/>
      <c r="AF377" s="824"/>
      <c r="AG377" s="824"/>
      <c r="AH377" s="824"/>
      <c r="AI377" s="824"/>
      <c r="AJ377" s="824"/>
      <c r="AK377" s="824"/>
      <c r="AL377" s="824"/>
      <c r="AM377" s="824"/>
      <c r="AN377" s="824"/>
      <c r="AO377" s="824"/>
      <c r="AP377" s="824"/>
      <c r="AQ377" s="824"/>
    </row>
    <row r="378" spans="1:43" s="15" customFormat="1" x14ac:dyDescent="0.25">
      <c r="A378" s="102"/>
      <c r="M378" s="16"/>
      <c r="U378" s="215"/>
      <c r="V378" s="824"/>
      <c r="W378" s="824"/>
      <c r="X378" s="824"/>
      <c r="Y378" s="824"/>
      <c r="Z378" s="824"/>
      <c r="AA378" s="824"/>
      <c r="AB378" s="824"/>
      <c r="AC378" s="824"/>
      <c r="AD378" s="824"/>
      <c r="AE378" s="824"/>
      <c r="AF378" s="824"/>
      <c r="AG378" s="824"/>
      <c r="AH378" s="824"/>
      <c r="AI378" s="824"/>
      <c r="AJ378" s="824"/>
      <c r="AK378" s="824"/>
      <c r="AL378" s="824"/>
      <c r="AM378" s="824"/>
      <c r="AN378" s="824"/>
      <c r="AO378" s="824"/>
      <c r="AP378" s="824"/>
      <c r="AQ378" s="824"/>
    </row>
    <row r="379" spans="1:43" s="15" customFormat="1" x14ac:dyDescent="0.25">
      <c r="A379" s="102"/>
      <c r="M379" s="16"/>
      <c r="U379" s="215"/>
      <c r="V379" s="824"/>
      <c r="W379" s="824"/>
      <c r="X379" s="824"/>
      <c r="Y379" s="824"/>
      <c r="Z379" s="824"/>
      <c r="AA379" s="824"/>
      <c r="AB379" s="824"/>
      <c r="AC379" s="824"/>
      <c r="AD379" s="824"/>
      <c r="AE379" s="824"/>
      <c r="AF379" s="824"/>
      <c r="AG379" s="824"/>
      <c r="AH379" s="824"/>
      <c r="AI379" s="824"/>
      <c r="AJ379" s="824"/>
      <c r="AK379" s="824"/>
      <c r="AL379" s="824"/>
      <c r="AM379" s="824"/>
      <c r="AN379" s="824"/>
      <c r="AO379" s="824"/>
      <c r="AP379" s="824"/>
      <c r="AQ379" s="824"/>
    </row>
    <row r="380" spans="1:43" s="15" customFormat="1" x14ac:dyDescent="0.25">
      <c r="A380" s="102"/>
      <c r="M380" s="16"/>
      <c r="U380" s="215"/>
      <c r="V380" s="824"/>
      <c r="W380" s="824"/>
      <c r="X380" s="824"/>
      <c r="Y380" s="824"/>
      <c r="Z380" s="824"/>
      <c r="AA380" s="824"/>
      <c r="AB380" s="824"/>
      <c r="AC380" s="824"/>
      <c r="AD380" s="824"/>
      <c r="AE380" s="824"/>
      <c r="AF380" s="824"/>
      <c r="AG380" s="824"/>
      <c r="AH380" s="824"/>
      <c r="AI380" s="824"/>
      <c r="AJ380" s="824"/>
      <c r="AK380" s="824"/>
      <c r="AL380" s="824"/>
      <c r="AM380" s="824"/>
      <c r="AN380" s="824"/>
      <c r="AO380" s="824"/>
      <c r="AP380" s="824"/>
      <c r="AQ380" s="824"/>
    </row>
    <row r="381" spans="1:43" s="15" customFormat="1" x14ac:dyDescent="0.25">
      <c r="A381" s="102"/>
      <c r="M381" s="16"/>
      <c r="U381" s="215"/>
      <c r="V381" s="824"/>
      <c r="W381" s="824"/>
      <c r="X381" s="824"/>
      <c r="Y381" s="824"/>
      <c r="Z381" s="824"/>
      <c r="AA381" s="824"/>
      <c r="AB381" s="824"/>
      <c r="AC381" s="824"/>
      <c r="AD381" s="824"/>
      <c r="AE381" s="824"/>
      <c r="AF381" s="824"/>
      <c r="AG381" s="824"/>
      <c r="AH381" s="824"/>
      <c r="AI381" s="824"/>
      <c r="AJ381" s="824"/>
      <c r="AK381" s="824"/>
      <c r="AL381" s="824"/>
      <c r="AM381" s="824"/>
      <c r="AN381" s="824"/>
      <c r="AO381" s="824"/>
      <c r="AP381" s="824"/>
      <c r="AQ381" s="824"/>
    </row>
    <row r="382" spans="1:43" s="15" customFormat="1" x14ac:dyDescent="0.25">
      <c r="A382" s="102"/>
      <c r="M382" s="16"/>
      <c r="U382" s="215"/>
      <c r="V382" s="824"/>
      <c r="W382" s="824"/>
      <c r="X382" s="824"/>
      <c r="Y382" s="824"/>
      <c r="Z382" s="824"/>
      <c r="AA382" s="824"/>
      <c r="AB382" s="824"/>
      <c r="AC382" s="824"/>
      <c r="AD382" s="824"/>
      <c r="AE382" s="824"/>
      <c r="AF382" s="824"/>
      <c r="AG382" s="824"/>
      <c r="AH382" s="824"/>
      <c r="AI382" s="824"/>
      <c r="AJ382" s="824"/>
      <c r="AK382" s="824"/>
      <c r="AL382" s="824"/>
      <c r="AM382" s="824"/>
      <c r="AN382" s="824"/>
      <c r="AO382" s="824"/>
      <c r="AP382" s="824"/>
      <c r="AQ382" s="824"/>
    </row>
    <row r="383" spans="1:43" s="15" customFormat="1" x14ac:dyDescent="0.25">
      <c r="A383" s="102"/>
      <c r="M383" s="16"/>
      <c r="U383" s="215"/>
      <c r="V383" s="824"/>
      <c r="W383" s="824"/>
      <c r="X383" s="824"/>
      <c r="Y383" s="824"/>
      <c r="Z383" s="824"/>
      <c r="AA383" s="824"/>
      <c r="AB383" s="824"/>
      <c r="AC383" s="824"/>
      <c r="AD383" s="824"/>
      <c r="AE383" s="824"/>
      <c r="AF383" s="824"/>
      <c r="AG383" s="824"/>
      <c r="AH383" s="824"/>
      <c r="AI383" s="824"/>
      <c r="AJ383" s="824"/>
      <c r="AK383" s="824"/>
      <c r="AL383" s="824"/>
      <c r="AM383" s="824"/>
      <c r="AN383" s="824"/>
      <c r="AO383" s="824"/>
      <c r="AP383" s="824"/>
      <c r="AQ383" s="824"/>
    </row>
    <row r="384" spans="1:43" s="15" customFormat="1" x14ac:dyDescent="0.25">
      <c r="A384" s="102"/>
      <c r="M384" s="16"/>
      <c r="U384" s="215"/>
      <c r="V384" s="824"/>
      <c r="W384" s="824"/>
      <c r="X384" s="824"/>
      <c r="Y384" s="824"/>
      <c r="Z384" s="824"/>
      <c r="AA384" s="824"/>
      <c r="AB384" s="824"/>
      <c r="AC384" s="824"/>
      <c r="AD384" s="824"/>
      <c r="AE384" s="824"/>
      <c r="AF384" s="824"/>
      <c r="AG384" s="824"/>
      <c r="AH384" s="824"/>
      <c r="AI384" s="824"/>
      <c r="AJ384" s="824"/>
      <c r="AK384" s="824"/>
      <c r="AL384" s="824"/>
      <c r="AM384" s="824"/>
      <c r="AN384" s="824"/>
      <c r="AO384" s="824"/>
      <c r="AP384" s="824"/>
      <c r="AQ384" s="824"/>
    </row>
    <row r="385" spans="1:43" s="15" customFormat="1" x14ac:dyDescent="0.25">
      <c r="A385" s="102"/>
      <c r="M385" s="16"/>
      <c r="U385" s="215"/>
      <c r="V385" s="824"/>
      <c r="W385" s="824"/>
      <c r="X385" s="824"/>
      <c r="Y385" s="824"/>
      <c r="Z385" s="824"/>
      <c r="AA385" s="824"/>
      <c r="AB385" s="824"/>
      <c r="AC385" s="824"/>
      <c r="AD385" s="824"/>
      <c r="AE385" s="824"/>
      <c r="AF385" s="824"/>
      <c r="AG385" s="824"/>
      <c r="AH385" s="824"/>
      <c r="AI385" s="824"/>
      <c r="AJ385" s="824"/>
      <c r="AK385" s="824"/>
      <c r="AL385" s="824"/>
      <c r="AM385" s="824"/>
      <c r="AN385" s="824"/>
      <c r="AO385" s="824"/>
      <c r="AP385" s="824"/>
      <c r="AQ385" s="824"/>
    </row>
    <row r="386" spans="1:43" s="15" customFormat="1" x14ac:dyDescent="0.25">
      <c r="A386" s="102"/>
      <c r="M386" s="16"/>
      <c r="U386" s="215"/>
      <c r="V386" s="824"/>
      <c r="W386" s="824"/>
      <c r="X386" s="824"/>
      <c r="Y386" s="824"/>
      <c r="Z386" s="824"/>
      <c r="AA386" s="824"/>
      <c r="AB386" s="824"/>
      <c r="AC386" s="824"/>
      <c r="AD386" s="824"/>
      <c r="AE386" s="824"/>
      <c r="AF386" s="824"/>
      <c r="AG386" s="824"/>
      <c r="AH386" s="824"/>
      <c r="AI386" s="824"/>
      <c r="AJ386" s="824"/>
      <c r="AK386" s="824"/>
      <c r="AL386" s="824"/>
      <c r="AM386" s="824"/>
      <c r="AN386" s="824"/>
      <c r="AO386" s="824"/>
      <c r="AP386" s="824"/>
      <c r="AQ386" s="824"/>
    </row>
    <row r="387" spans="1:43" s="15" customFormat="1" x14ac:dyDescent="0.25">
      <c r="A387" s="102"/>
      <c r="M387" s="16"/>
      <c r="U387" s="215"/>
      <c r="V387" s="824"/>
      <c r="W387" s="824"/>
      <c r="X387" s="824"/>
      <c r="Y387" s="824"/>
      <c r="Z387" s="824"/>
      <c r="AA387" s="824"/>
      <c r="AB387" s="824"/>
      <c r="AC387" s="824"/>
      <c r="AD387" s="824"/>
      <c r="AE387" s="824"/>
      <c r="AF387" s="824"/>
      <c r="AG387" s="824"/>
      <c r="AH387" s="824"/>
      <c r="AI387" s="824"/>
      <c r="AJ387" s="824"/>
      <c r="AK387" s="824"/>
      <c r="AL387" s="824"/>
      <c r="AM387" s="824"/>
      <c r="AN387" s="824"/>
      <c r="AO387" s="824"/>
      <c r="AP387" s="824"/>
      <c r="AQ387" s="824"/>
    </row>
    <row r="388" spans="1:43" s="15" customFormat="1" x14ac:dyDescent="0.25">
      <c r="A388" s="102"/>
      <c r="M388" s="16"/>
      <c r="U388" s="215"/>
      <c r="V388" s="824"/>
      <c r="W388" s="824"/>
      <c r="X388" s="824"/>
      <c r="Y388" s="824"/>
      <c r="Z388" s="824"/>
      <c r="AA388" s="824"/>
      <c r="AB388" s="824"/>
      <c r="AC388" s="824"/>
      <c r="AD388" s="824"/>
      <c r="AE388" s="824"/>
      <c r="AF388" s="824"/>
      <c r="AG388" s="824"/>
      <c r="AH388" s="824"/>
      <c r="AI388" s="824"/>
      <c r="AJ388" s="824"/>
      <c r="AK388" s="824"/>
      <c r="AL388" s="824"/>
      <c r="AM388" s="824"/>
      <c r="AN388" s="824"/>
      <c r="AO388" s="824"/>
      <c r="AP388" s="824"/>
      <c r="AQ388" s="824"/>
    </row>
    <row r="389" spans="1:43" s="15" customFormat="1" x14ac:dyDescent="0.25">
      <c r="A389" s="102"/>
      <c r="M389" s="16"/>
      <c r="U389" s="215"/>
      <c r="V389" s="824"/>
      <c r="W389" s="824"/>
      <c r="X389" s="824"/>
      <c r="Y389" s="824"/>
      <c r="Z389" s="824"/>
      <c r="AA389" s="824"/>
      <c r="AB389" s="824"/>
      <c r="AC389" s="824"/>
      <c r="AD389" s="824"/>
      <c r="AE389" s="824"/>
      <c r="AF389" s="824"/>
      <c r="AG389" s="824"/>
      <c r="AH389" s="824"/>
      <c r="AI389" s="824"/>
      <c r="AJ389" s="824"/>
      <c r="AK389" s="824"/>
      <c r="AL389" s="824"/>
      <c r="AM389" s="824"/>
      <c r="AN389" s="824"/>
      <c r="AO389" s="824"/>
      <c r="AP389" s="824"/>
      <c r="AQ389" s="824"/>
    </row>
    <row r="390" spans="1:43" s="15" customFormat="1" x14ac:dyDescent="0.25">
      <c r="A390" s="102"/>
      <c r="M390" s="16"/>
      <c r="U390" s="215"/>
      <c r="V390" s="824"/>
      <c r="W390" s="824"/>
      <c r="X390" s="824"/>
      <c r="Y390" s="824"/>
      <c r="Z390" s="824"/>
      <c r="AA390" s="824"/>
      <c r="AB390" s="824"/>
      <c r="AC390" s="824"/>
      <c r="AD390" s="824"/>
      <c r="AE390" s="824"/>
      <c r="AF390" s="824"/>
      <c r="AG390" s="824"/>
      <c r="AH390" s="824"/>
      <c r="AI390" s="824"/>
      <c r="AJ390" s="824"/>
      <c r="AK390" s="824"/>
      <c r="AL390" s="824"/>
      <c r="AM390" s="824"/>
      <c r="AN390" s="824"/>
      <c r="AO390" s="824"/>
      <c r="AP390" s="824"/>
      <c r="AQ390" s="824"/>
    </row>
    <row r="391" spans="1:43" s="15" customFormat="1" x14ac:dyDescent="0.25">
      <c r="A391" s="102"/>
      <c r="M391" s="16"/>
      <c r="U391" s="215"/>
      <c r="V391" s="824"/>
      <c r="W391" s="824"/>
      <c r="X391" s="824"/>
      <c r="Y391" s="824"/>
      <c r="Z391" s="824"/>
      <c r="AA391" s="824"/>
      <c r="AB391" s="824"/>
      <c r="AC391" s="824"/>
      <c r="AD391" s="824"/>
      <c r="AE391" s="824"/>
      <c r="AF391" s="824"/>
      <c r="AG391" s="824"/>
      <c r="AH391" s="824"/>
      <c r="AI391" s="824"/>
      <c r="AJ391" s="824"/>
      <c r="AK391" s="824"/>
      <c r="AL391" s="824"/>
      <c r="AM391" s="824"/>
      <c r="AN391" s="824"/>
      <c r="AO391" s="824"/>
      <c r="AP391" s="824"/>
      <c r="AQ391" s="824"/>
    </row>
    <row r="392" spans="1:43" s="15" customFormat="1" x14ac:dyDescent="0.25">
      <c r="A392" s="102"/>
      <c r="M392" s="16"/>
      <c r="U392" s="215"/>
      <c r="V392" s="824"/>
      <c r="W392" s="824"/>
      <c r="X392" s="824"/>
      <c r="Y392" s="824"/>
      <c r="Z392" s="824"/>
      <c r="AA392" s="824"/>
      <c r="AB392" s="824"/>
      <c r="AC392" s="824"/>
      <c r="AD392" s="824"/>
      <c r="AE392" s="824"/>
      <c r="AF392" s="824"/>
      <c r="AG392" s="824"/>
      <c r="AH392" s="824"/>
      <c r="AI392" s="824"/>
      <c r="AJ392" s="824"/>
      <c r="AK392" s="824"/>
      <c r="AL392" s="824"/>
      <c r="AM392" s="824"/>
      <c r="AN392" s="824"/>
      <c r="AO392" s="824"/>
      <c r="AP392" s="824"/>
      <c r="AQ392" s="824"/>
    </row>
    <row r="393" spans="1:43" s="15" customFormat="1" x14ac:dyDescent="0.25">
      <c r="A393" s="102"/>
      <c r="M393" s="16"/>
      <c r="U393" s="215"/>
      <c r="V393" s="824"/>
      <c r="W393" s="824"/>
      <c r="X393" s="824"/>
      <c r="Y393" s="824"/>
      <c r="Z393" s="824"/>
      <c r="AA393" s="824"/>
      <c r="AB393" s="824"/>
      <c r="AC393" s="824"/>
      <c r="AD393" s="824"/>
      <c r="AE393" s="824"/>
      <c r="AF393" s="824"/>
      <c r="AG393" s="824"/>
      <c r="AH393" s="824"/>
      <c r="AI393" s="824"/>
      <c r="AJ393" s="824"/>
      <c r="AK393" s="824"/>
      <c r="AL393" s="824"/>
      <c r="AM393" s="824"/>
      <c r="AN393" s="824"/>
      <c r="AO393" s="824"/>
      <c r="AP393" s="824"/>
      <c r="AQ393" s="824"/>
    </row>
    <row r="394" spans="1:43" s="15" customFormat="1" x14ac:dyDescent="0.25">
      <c r="A394" s="102"/>
      <c r="M394" s="16"/>
      <c r="U394" s="215"/>
      <c r="V394" s="824"/>
      <c r="W394" s="824"/>
      <c r="X394" s="824"/>
      <c r="Y394" s="824"/>
      <c r="Z394" s="824"/>
      <c r="AA394" s="824"/>
      <c r="AB394" s="824"/>
      <c r="AC394" s="824"/>
      <c r="AD394" s="824"/>
      <c r="AE394" s="824"/>
      <c r="AF394" s="824"/>
      <c r="AG394" s="824"/>
      <c r="AH394" s="824"/>
      <c r="AI394" s="824"/>
      <c r="AJ394" s="824"/>
      <c r="AK394" s="824"/>
      <c r="AL394" s="824"/>
      <c r="AM394" s="824"/>
      <c r="AN394" s="824"/>
      <c r="AO394" s="824"/>
      <c r="AP394" s="824"/>
      <c r="AQ394" s="824"/>
    </row>
    <row r="395" spans="1:43" s="15" customFormat="1" x14ac:dyDescent="0.25">
      <c r="A395" s="102"/>
      <c r="M395" s="16"/>
      <c r="U395" s="215"/>
      <c r="V395" s="824"/>
      <c r="W395" s="824"/>
      <c r="X395" s="824"/>
      <c r="Y395" s="824"/>
      <c r="Z395" s="824"/>
      <c r="AA395" s="824"/>
      <c r="AB395" s="824"/>
      <c r="AC395" s="824"/>
      <c r="AD395" s="824"/>
      <c r="AE395" s="824"/>
      <c r="AF395" s="824"/>
      <c r="AG395" s="824"/>
      <c r="AH395" s="824"/>
      <c r="AI395" s="824"/>
      <c r="AJ395" s="824"/>
      <c r="AK395" s="824"/>
      <c r="AL395" s="824"/>
      <c r="AM395" s="824"/>
      <c r="AN395" s="824"/>
      <c r="AO395" s="824"/>
      <c r="AP395" s="824"/>
      <c r="AQ395" s="824"/>
    </row>
    <row r="396" spans="1:43" s="15" customFormat="1" x14ac:dyDescent="0.25">
      <c r="A396" s="102"/>
      <c r="M396" s="16"/>
      <c r="U396" s="215"/>
      <c r="V396" s="824"/>
      <c r="W396" s="824"/>
      <c r="X396" s="824"/>
      <c r="Y396" s="824"/>
      <c r="Z396" s="824"/>
      <c r="AA396" s="824"/>
      <c r="AB396" s="824"/>
      <c r="AC396" s="824"/>
      <c r="AD396" s="824"/>
      <c r="AE396" s="824"/>
      <c r="AF396" s="824"/>
      <c r="AG396" s="824"/>
      <c r="AH396" s="824"/>
      <c r="AI396" s="824"/>
      <c r="AJ396" s="824"/>
      <c r="AK396" s="824"/>
      <c r="AL396" s="824"/>
      <c r="AM396" s="824"/>
      <c r="AN396" s="824"/>
      <c r="AO396" s="824"/>
      <c r="AP396" s="824"/>
      <c r="AQ396" s="824"/>
    </row>
    <row r="397" spans="1:43" s="15" customFormat="1" x14ac:dyDescent="0.25">
      <c r="A397" s="102"/>
      <c r="M397" s="16"/>
      <c r="U397" s="215"/>
      <c r="V397" s="824"/>
      <c r="W397" s="824"/>
      <c r="X397" s="824"/>
      <c r="Y397" s="824"/>
      <c r="Z397" s="824"/>
      <c r="AA397" s="824"/>
      <c r="AB397" s="824"/>
      <c r="AC397" s="824"/>
      <c r="AD397" s="824"/>
      <c r="AE397" s="824"/>
      <c r="AF397" s="824"/>
      <c r="AG397" s="824"/>
      <c r="AH397" s="824"/>
      <c r="AI397" s="824"/>
      <c r="AJ397" s="824"/>
      <c r="AK397" s="824"/>
      <c r="AL397" s="824"/>
      <c r="AM397" s="824"/>
      <c r="AN397" s="824"/>
      <c r="AO397" s="824"/>
      <c r="AP397" s="824"/>
      <c r="AQ397" s="824"/>
    </row>
    <row r="398" spans="1:43" s="15" customFormat="1" x14ac:dyDescent="0.25">
      <c r="A398" s="102"/>
      <c r="M398" s="16"/>
      <c r="U398" s="215"/>
      <c r="V398" s="824"/>
      <c r="W398" s="824"/>
      <c r="X398" s="824"/>
      <c r="Y398" s="824"/>
      <c r="Z398" s="824"/>
      <c r="AA398" s="824"/>
      <c r="AB398" s="824"/>
      <c r="AC398" s="824"/>
      <c r="AD398" s="824"/>
      <c r="AE398" s="824"/>
      <c r="AF398" s="824"/>
      <c r="AG398" s="824"/>
      <c r="AH398" s="824"/>
      <c r="AI398" s="824"/>
      <c r="AJ398" s="824"/>
      <c r="AK398" s="824"/>
      <c r="AL398" s="824"/>
      <c r="AM398" s="824"/>
      <c r="AN398" s="824"/>
      <c r="AO398" s="824"/>
      <c r="AP398" s="824"/>
      <c r="AQ398" s="824"/>
    </row>
    <row r="399" spans="1:43" s="15" customFormat="1" x14ac:dyDescent="0.25">
      <c r="A399" s="102"/>
      <c r="M399" s="16"/>
      <c r="U399" s="215"/>
      <c r="V399" s="824"/>
      <c r="W399" s="824"/>
      <c r="X399" s="824"/>
      <c r="Y399" s="824"/>
      <c r="Z399" s="824"/>
      <c r="AA399" s="824"/>
      <c r="AB399" s="824"/>
      <c r="AC399" s="824"/>
      <c r="AD399" s="824"/>
      <c r="AE399" s="824"/>
      <c r="AF399" s="824"/>
      <c r="AG399" s="824"/>
      <c r="AH399" s="824"/>
      <c r="AI399" s="824"/>
      <c r="AJ399" s="824"/>
      <c r="AK399" s="824"/>
      <c r="AL399" s="824"/>
      <c r="AM399" s="824"/>
      <c r="AN399" s="824"/>
      <c r="AO399" s="824"/>
      <c r="AP399" s="824"/>
      <c r="AQ399" s="824"/>
    </row>
    <row r="400" spans="1:43" s="15" customFormat="1" x14ac:dyDescent="0.25">
      <c r="A400" s="102"/>
      <c r="M400" s="16"/>
      <c r="U400" s="215"/>
      <c r="V400" s="824"/>
      <c r="W400" s="824"/>
      <c r="X400" s="824"/>
      <c r="Y400" s="824"/>
      <c r="Z400" s="824"/>
      <c r="AA400" s="824"/>
      <c r="AB400" s="824"/>
      <c r="AC400" s="824"/>
      <c r="AD400" s="824"/>
      <c r="AE400" s="824"/>
      <c r="AF400" s="824"/>
      <c r="AG400" s="824"/>
      <c r="AH400" s="824"/>
      <c r="AI400" s="824"/>
      <c r="AJ400" s="824"/>
      <c r="AK400" s="824"/>
      <c r="AL400" s="824"/>
      <c r="AM400" s="824"/>
      <c r="AN400" s="824"/>
      <c r="AO400" s="824"/>
      <c r="AP400" s="824"/>
      <c r="AQ400" s="824"/>
    </row>
    <row r="401" spans="1:43" s="15" customFormat="1" x14ac:dyDescent="0.25">
      <c r="A401" s="102"/>
      <c r="M401" s="16"/>
      <c r="U401" s="215"/>
      <c r="V401" s="824"/>
      <c r="W401" s="824"/>
      <c r="X401" s="824"/>
      <c r="Y401" s="824"/>
      <c r="Z401" s="824"/>
      <c r="AA401" s="824"/>
      <c r="AB401" s="824"/>
      <c r="AC401" s="824"/>
      <c r="AD401" s="824"/>
      <c r="AE401" s="824"/>
      <c r="AF401" s="824"/>
      <c r="AG401" s="824"/>
      <c r="AH401" s="824"/>
      <c r="AI401" s="824"/>
      <c r="AJ401" s="824"/>
      <c r="AK401" s="824"/>
      <c r="AL401" s="824"/>
      <c r="AM401" s="824"/>
      <c r="AN401" s="824"/>
      <c r="AO401" s="824"/>
      <c r="AP401" s="824"/>
      <c r="AQ401" s="824"/>
    </row>
    <row r="402" spans="1:43" s="15" customFormat="1" x14ac:dyDescent="0.25">
      <c r="A402" s="102"/>
      <c r="M402" s="16"/>
      <c r="U402" s="215"/>
      <c r="V402" s="824"/>
      <c r="W402" s="824"/>
      <c r="X402" s="824"/>
      <c r="Y402" s="824"/>
      <c r="Z402" s="824"/>
      <c r="AA402" s="824"/>
      <c r="AB402" s="824"/>
      <c r="AC402" s="824"/>
      <c r="AD402" s="824"/>
      <c r="AE402" s="824"/>
      <c r="AF402" s="824"/>
      <c r="AG402" s="824"/>
      <c r="AH402" s="824"/>
      <c r="AI402" s="824"/>
      <c r="AJ402" s="824"/>
      <c r="AK402" s="824"/>
      <c r="AL402" s="824"/>
      <c r="AM402" s="824"/>
      <c r="AN402" s="824"/>
      <c r="AO402" s="824"/>
      <c r="AP402" s="824"/>
      <c r="AQ402" s="824"/>
    </row>
    <row r="403" spans="1:43" s="15" customFormat="1" x14ac:dyDescent="0.25">
      <c r="A403" s="102"/>
      <c r="M403" s="16"/>
      <c r="U403" s="215"/>
      <c r="V403" s="824"/>
      <c r="W403" s="824"/>
      <c r="X403" s="824"/>
      <c r="Y403" s="824"/>
      <c r="Z403" s="824"/>
      <c r="AA403" s="824"/>
      <c r="AB403" s="824"/>
      <c r="AC403" s="824"/>
      <c r="AD403" s="824"/>
      <c r="AE403" s="824"/>
      <c r="AF403" s="824"/>
      <c r="AG403" s="824"/>
      <c r="AH403" s="824"/>
      <c r="AI403" s="824"/>
      <c r="AJ403" s="824"/>
      <c r="AK403" s="824"/>
      <c r="AL403" s="824"/>
      <c r="AM403" s="824"/>
      <c r="AN403" s="824"/>
      <c r="AO403" s="824"/>
      <c r="AP403" s="824"/>
      <c r="AQ403" s="824"/>
    </row>
    <row r="404" spans="1:43" s="15" customFormat="1" x14ac:dyDescent="0.25">
      <c r="A404" s="102"/>
      <c r="M404" s="16"/>
      <c r="U404" s="215"/>
      <c r="V404" s="824"/>
      <c r="W404" s="824"/>
      <c r="X404" s="824"/>
      <c r="Y404" s="824"/>
      <c r="Z404" s="824"/>
      <c r="AA404" s="824"/>
      <c r="AB404" s="824"/>
      <c r="AC404" s="824"/>
      <c r="AD404" s="824"/>
      <c r="AE404" s="824"/>
      <c r="AF404" s="824"/>
      <c r="AG404" s="824"/>
      <c r="AH404" s="824"/>
      <c r="AI404" s="824"/>
      <c r="AJ404" s="824"/>
      <c r="AK404" s="824"/>
      <c r="AL404" s="824"/>
      <c r="AM404" s="824"/>
      <c r="AN404" s="824"/>
      <c r="AO404" s="824"/>
      <c r="AP404" s="824"/>
      <c r="AQ404" s="824"/>
    </row>
    <row r="405" spans="1:43" s="15" customFormat="1" x14ac:dyDescent="0.25">
      <c r="A405" s="102"/>
      <c r="M405" s="16"/>
      <c r="U405" s="215"/>
      <c r="V405" s="824"/>
      <c r="W405" s="824"/>
      <c r="X405" s="824"/>
      <c r="Y405" s="824"/>
      <c r="Z405" s="824"/>
      <c r="AA405" s="824"/>
      <c r="AB405" s="824"/>
      <c r="AC405" s="824"/>
      <c r="AD405" s="824"/>
      <c r="AE405" s="824"/>
      <c r="AF405" s="824"/>
      <c r="AG405" s="824"/>
      <c r="AH405" s="824"/>
      <c r="AI405" s="824"/>
      <c r="AJ405" s="824"/>
      <c r="AK405" s="824"/>
      <c r="AL405" s="824"/>
      <c r="AM405" s="824"/>
      <c r="AN405" s="824"/>
      <c r="AO405" s="824"/>
      <c r="AP405" s="824"/>
      <c r="AQ405" s="824"/>
    </row>
    <row r="406" spans="1:43" s="15" customFormat="1" x14ac:dyDescent="0.25">
      <c r="A406" s="102"/>
      <c r="M406" s="16"/>
      <c r="U406" s="215"/>
      <c r="V406" s="824"/>
      <c r="W406" s="824"/>
      <c r="X406" s="824"/>
      <c r="Y406" s="824"/>
      <c r="Z406" s="824"/>
      <c r="AA406" s="824"/>
      <c r="AB406" s="824"/>
      <c r="AC406" s="824"/>
      <c r="AD406" s="824"/>
      <c r="AE406" s="824"/>
      <c r="AF406" s="824"/>
      <c r="AG406" s="824"/>
      <c r="AH406" s="824"/>
      <c r="AI406" s="824"/>
      <c r="AJ406" s="824"/>
      <c r="AK406" s="824"/>
      <c r="AL406" s="824"/>
      <c r="AM406" s="824"/>
      <c r="AN406" s="824"/>
      <c r="AO406" s="824"/>
      <c r="AP406" s="824"/>
      <c r="AQ406" s="824"/>
    </row>
    <row r="407" spans="1:43" s="15" customFormat="1" x14ac:dyDescent="0.25">
      <c r="A407" s="102"/>
      <c r="M407" s="16"/>
      <c r="U407" s="215"/>
      <c r="V407" s="824"/>
      <c r="W407" s="824"/>
      <c r="X407" s="824"/>
      <c r="Y407" s="824"/>
      <c r="Z407" s="824"/>
      <c r="AA407" s="824"/>
      <c r="AB407" s="824"/>
      <c r="AC407" s="824"/>
      <c r="AD407" s="824"/>
      <c r="AE407" s="824"/>
      <c r="AF407" s="824"/>
      <c r="AG407" s="824"/>
      <c r="AH407" s="824"/>
      <c r="AI407" s="824"/>
      <c r="AJ407" s="824"/>
      <c r="AK407" s="824"/>
      <c r="AL407" s="824"/>
      <c r="AM407" s="824"/>
      <c r="AN407" s="824"/>
      <c r="AO407" s="824"/>
      <c r="AP407" s="824"/>
      <c r="AQ407" s="824"/>
    </row>
    <row r="408" spans="1:43" s="15" customFormat="1" x14ac:dyDescent="0.25">
      <c r="A408" s="102"/>
      <c r="M408" s="16"/>
      <c r="U408" s="215"/>
      <c r="V408" s="824"/>
      <c r="W408" s="824"/>
      <c r="X408" s="824"/>
      <c r="Y408" s="824"/>
      <c r="Z408" s="824"/>
      <c r="AA408" s="824"/>
      <c r="AB408" s="824"/>
      <c r="AC408" s="824"/>
      <c r="AD408" s="824"/>
      <c r="AE408" s="824"/>
      <c r="AF408" s="824"/>
      <c r="AG408" s="824"/>
      <c r="AH408" s="824"/>
      <c r="AI408" s="824"/>
      <c r="AJ408" s="824"/>
      <c r="AK408" s="824"/>
      <c r="AL408" s="824"/>
      <c r="AM408" s="824"/>
      <c r="AN408" s="824"/>
      <c r="AO408" s="824"/>
      <c r="AP408" s="824"/>
      <c r="AQ408" s="824"/>
    </row>
    <row r="409" spans="1:43" s="15" customFormat="1" x14ac:dyDescent="0.25">
      <c r="A409" s="102"/>
      <c r="M409" s="16"/>
      <c r="U409" s="215"/>
      <c r="V409" s="824"/>
      <c r="W409" s="824"/>
      <c r="X409" s="824"/>
      <c r="Y409" s="824"/>
      <c r="Z409" s="824"/>
      <c r="AA409" s="824"/>
      <c r="AB409" s="824"/>
      <c r="AC409" s="824"/>
      <c r="AD409" s="824"/>
      <c r="AE409" s="824"/>
      <c r="AF409" s="824"/>
      <c r="AG409" s="824"/>
      <c r="AH409" s="824"/>
      <c r="AI409" s="824"/>
      <c r="AJ409" s="824"/>
      <c r="AK409" s="824"/>
      <c r="AL409" s="824"/>
      <c r="AM409" s="824"/>
      <c r="AN409" s="824"/>
      <c r="AO409" s="824"/>
      <c r="AP409" s="824"/>
      <c r="AQ409" s="824"/>
    </row>
    <row r="410" spans="1:43" s="15" customFormat="1" x14ac:dyDescent="0.25">
      <c r="A410" s="102"/>
      <c r="M410" s="16"/>
      <c r="U410" s="215"/>
      <c r="V410" s="824"/>
      <c r="W410" s="824"/>
      <c r="X410" s="824"/>
      <c r="Y410" s="824"/>
      <c r="Z410" s="824"/>
      <c r="AA410" s="824"/>
      <c r="AB410" s="824"/>
      <c r="AC410" s="824"/>
      <c r="AD410" s="824"/>
      <c r="AE410" s="824"/>
      <c r="AF410" s="824"/>
      <c r="AG410" s="824"/>
      <c r="AH410" s="824"/>
      <c r="AI410" s="824"/>
      <c r="AJ410" s="824"/>
      <c r="AK410" s="824"/>
      <c r="AL410" s="824"/>
      <c r="AM410" s="824"/>
      <c r="AN410" s="824"/>
      <c r="AO410" s="824"/>
      <c r="AP410" s="824"/>
      <c r="AQ410" s="824"/>
    </row>
    <row r="411" spans="1:43" s="15" customFormat="1" x14ac:dyDescent="0.25">
      <c r="A411" s="102"/>
      <c r="M411" s="16"/>
      <c r="U411" s="215"/>
      <c r="V411" s="824"/>
      <c r="W411" s="824"/>
      <c r="X411" s="824"/>
      <c r="Y411" s="824"/>
      <c r="Z411" s="824"/>
      <c r="AA411" s="824"/>
      <c r="AB411" s="824"/>
      <c r="AC411" s="824"/>
      <c r="AD411" s="824"/>
      <c r="AE411" s="824"/>
      <c r="AF411" s="824"/>
      <c r="AG411" s="824"/>
      <c r="AH411" s="824"/>
      <c r="AI411" s="824"/>
      <c r="AJ411" s="824"/>
      <c r="AK411" s="824"/>
      <c r="AL411" s="824"/>
      <c r="AM411" s="824"/>
      <c r="AN411" s="824"/>
      <c r="AO411" s="824"/>
      <c r="AP411" s="824"/>
      <c r="AQ411" s="824"/>
    </row>
    <row r="412" spans="1:43" s="15" customFormat="1" x14ac:dyDescent="0.25">
      <c r="A412" s="102"/>
      <c r="M412" s="16"/>
      <c r="U412" s="215"/>
      <c r="V412" s="824"/>
      <c r="W412" s="824"/>
      <c r="X412" s="824"/>
      <c r="Y412" s="824"/>
      <c r="Z412" s="824"/>
      <c r="AA412" s="824"/>
      <c r="AB412" s="824"/>
      <c r="AC412" s="824"/>
      <c r="AD412" s="824"/>
      <c r="AE412" s="824"/>
      <c r="AF412" s="824"/>
      <c r="AG412" s="824"/>
      <c r="AH412" s="824"/>
      <c r="AI412" s="824"/>
      <c r="AJ412" s="824"/>
      <c r="AK412" s="824"/>
      <c r="AL412" s="824"/>
      <c r="AM412" s="824"/>
      <c r="AN412" s="824"/>
      <c r="AO412" s="824"/>
      <c r="AP412" s="824"/>
      <c r="AQ412" s="824"/>
    </row>
    <row r="413" spans="1:43" s="15" customFormat="1" x14ac:dyDescent="0.25">
      <c r="A413" s="102"/>
      <c r="M413" s="16"/>
      <c r="U413" s="215"/>
      <c r="V413" s="824"/>
      <c r="W413" s="824"/>
      <c r="X413" s="824"/>
      <c r="Y413" s="824"/>
      <c r="Z413" s="824"/>
      <c r="AA413" s="824"/>
      <c r="AB413" s="824"/>
      <c r="AC413" s="824"/>
      <c r="AD413" s="824"/>
      <c r="AE413" s="824"/>
      <c r="AF413" s="824"/>
      <c r="AG413" s="824"/>
      <c r="AH413" s="824"/>
      <c r="AI413" s="824"/>
      <c r="AJ413" s="824"/>
      <c r="AK413" s="824"/>
      <c r="AL413" s="824"/>
      <c r="AM413" s="824"/>
      <c r="AN413" s="824"/>
      <c r="AO413" s="824"/>
      <c r="AP413" s="824"/>
      <c r="AQ413" s="824"/>
    </row>
    <row r="414" spans="1:43" s="15" customFormat="1" x14ac:dyDescent="0.25">
      <c r="A414" s="102"/>
      <c r="M414" s="16"/>
      <c r="U414" s="215"/>
      <c r="V414" s="824"/>
      <c r="W414" s="824"/>
      <c r="X414" s="824"/>
      <c r="Y414" s="824"/>
      <c r="Z414" s="824"/>
      <c r="AA414" s="824"/>
      <c r="AB414" s="824"/>
      <c r="AC414" s="824"/>
      <c r="AD414" s="824"/>
      <c r="AE414" s="824"/>
      <c r="AF414" s="824"/>
      <c r="AG414" s="824"/>
      <c r="AH414" s="824"/>
      <c r="AI414" s="824"/>
      <c r="AJ414" s="824"/>
      <c r="AK414" s="824"/>
      <c r="AL414" s="824"/>
      <c r="AM414" s="824"/>
      <c r="AN414" s="824"/>
      <c r="AO414" s="824"/>
      <c r="AP414" s="824"/>
      <c r="AQ414" s="824"/>
    </row>
    <row r="415" spans="1:43" s="15" customFormat="1" x14ac:dyDescent="0.25">
      <c r="A415" s="102"/>
      <c r="M415" s="16"/>
      <c r="U415" s="215"/>
      <c r="V415" s="824"/>
      <c r="W415" s="824"/>
      <c r="X415" s="824"/>
      <c r="Y415" s="824"/>
      <c r="Z415" s="824"/>
      <c r="AA415" s="824"/>
      <c r="AB415" s="824"/>
      <c r="AC415" s="824"/>
      <c r="AD415" s="824"/>
      <c r="AE415" s="824"/>
      <c r="AF415" s="824"/>
      <c r="AG415" s="824"/>
      <c r="AH415" s="824"/>
      <c r="AI415" s="824"/>
      <c r="AJ415" s="824"/>
      <c r="AK415" s="824"/>
      <c r="AL415" s="824"/>
      <c r="AM415" s="824"/>
      <c r="AN415" s="824"/>
      <c r="AO415" s="824"/>
      <c r="AP415" s="824"/>
      <c r="AQ415" s="824"/>
    </row>
    <row r="416" spans="1:43" s="15" customFormat="1" x14ac:dyDescent="0.25">
      <c r="A416" s="102"/>
      <c r="M416" s="16"/>
      <c r="U416" s="215"/>
      <c r="V416" s="824"/>
      <c r="W416" s="824"/>
      <c r="X416" s="824"/>
      <c r="Y416" s="824"/>
      <c r="Z416" s="824"/>
      <c r="AA416" s="824"/>
      <c r="AB416" s="824"/>
      <c r="AC416" s="824"/>
      <c r="AD416" s="824"/>
      <c r="AE416" s="824"/>
      <c r="AF416" s="824"/>
      <c r="AG416" s="824"/>
      <c r="AH416" s="824"/>
      <c r="AI416" s="824"/>
      <c r="AJ416" s="824"/>
      <c r="AK416" s="824"/>
      <c r="AL416" s="824"/>
      <c r="AM416" s="824"/>
      <c r="AN416" s="824"/>
      <c r="AO416" s="824"/>
      <c r="AP416" s="824"/>
      <c r="AQ416" s="824"/>
    </row>
  </sheetData>
  <sheetProtection algorithmName="SHA-512" hashValue="ih82SkQZ0WqM6kU+eANsV/Ij2VG5EShPafNfrMAA6stzgy39Fef6LGlOkYKtfFXsX56+yHzqUceHPsMkOF9aqw==" saltValue="XfjQ/b+XmobHC3QuB0e1jg==" spinCount="100000" sheet="1" objects="1" scenarios="1" selectLockedCells="1"/>
  <mergeCells count="18">
    <mergeCell ref="I7:M7"/>
    <mergeCell ref="I15:M15"/>
    <mergeCell ref="C16:D16"/>
    <mergeCell ref="G21:H21"/>
    <mergeCell ref="I11:M11"/>
    <mergeCell ref="K17:M17"/>
    <mergeCell ref="F9:G9"/>
    <mergeCell ref="N17:P17"/>
    <mergeCell ref="N49:Q49"/>
    <mergeCell ref="C44:D44"/>
    <mergeCell ref="C45:D45"/>
    <mergeCell ref="Q27:R27"/>
    <mergeCell ref="E27:H27"/>
    <mergeCell ref="J27:K27"/>
    <mergeCell ref="M27:N27"/>
    <mergeCell ref="E39:G39"/>
    <mergeCell ref="H17:J17"/>
    <mergeCell ref="E17:G17"/>
  </mergeCells>
  <conditionalFormatting sqref="C31:R33 M53:Q53 C35:R35 C57:Q57 C53:K56 N54:Q56">
    <cfRule type="expression" dxfId="40" priority="32">
      <formula>$C31 = $A$3</formula>
    </cfRule>
  </conditionalFormatting>
  <conditionalFormatting sqref="M54:M56">
    <cfRule type="expression" dxfId="39" priority="24">
      <formula>$C54 = $A$3</formula>
    </cfRule>
  </conditionalFormatting>
  <conditionalFormatting sqref="L53:L56">
    <cfRule type="expression" dxfId="38" priority="16">
      <formula>$C53 = $A$3</formula>
    </cfRule>
  </conditionalFormatting>
  <conditionalFormatting sqref="C34:R34">
    <cfRule type="expression" dxfId="37" priority="14">
      <formula>$C34 = $A$3</formula>
    </cfRule>
  </conditionalFormatting>
  <conditionalFormatting sqref="E31:R45">
    <cfRule type="cellIs" dxfId="36" priority="6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540" r:id="rId4" name="CommandButton3">
          <controlPr defaultSize="0" print="0" autoFill="0" autoLine="0" r:id="rId5">
            <anchor moveWithCells="1">
              <from>
                <xdr:col>15</xdr:col>
                <xdr:colOff>419100</xdr:colOff>
                <xdr:row>6</xdr:row>
                <xdr:rowOff>247650</xdr:rowOff>
              </from>
              <to>
                <xdr:col>17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22540" r:id="rId4" name="Command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140"/>
  <dimension ref="A1:AT369"/>
  <sheetViews>
    <sheetView showGridLines="0" showRowColHeaders="0" showZeros="0" zoomScale="85" zoomScaleNormal="85" workbookViewId="0"/>
  </sheetViews>
  <sheetFormatPr defaultRowHeight="15" x14ac:dyDescent="0.25"/>
  <cols>
    <col min="1" max="1" width="3.5703125" style="96" customWidth="1"/>
    <col min="2" max="2" width="1.5703125" style="17" customWidth="1"/>
    <col min="3" max="3" width="3.7109375" style="17" customWidth="1"/>
    <col min="4" max="4" width="12.85546875" style="17" customWidth="1"/>
    <col min="5" max="5" width="16.28515625" style="17" customWidth="1"/>
    <col min="6" max="6" width="11.140625" style="17" customWidth="1"/>
    <col min="7" max="7" width="13.5703125" style="17" customWidth="1"/>
    <col min="8" max="8" width="15.5703125" style="17" customWidth="1"/>
    <col min="9" max="9" width="15.28515625" style="17" customWidth="1"/>
    <col min="10" max="10" width="8.42578125" style="17" customWidth="1"/>
    <col min="11" max="11" width="10.28515625" style="17" customWidth="1"/>
    <col min="12" max="12" width="12.140625" style="17" customWidth="1"/>
    <col min="13" max="13" width="15.85546875" style="18" customWidth="1"/>
    <col min="14" max="14" width="11" style="17" customWidth="1"/>
    <col min="15" max="15" width="15.85546875" style="17" customWidth="1"/>
    <col min="16" max="16" width="15.42578125" style="17" customWidth="1"/>
    <col min="17" max="17" width="15.28515625" style="17" customWidth="1"/>
    <col min="18" max="18" width="7.7109375" style="17" customWidth="1"/>
    <col min="19" max="19" width="1.140625" style="17" customWidth="1"/>
    <col min="20" max="21" width="9.140625" style="17"/>
    <col min="22" max="22" width="12.85546875" style="17" bestFit="1" customWidth="1"/>
    <col min="23" max="16384" width="9.140625" style="17"/>
  </cols>
  <sheetData>
    <row r="1" spans="1:46" ht="9.75" customHeight="1" thickBot="1" x14ac:dyDescent="0.3"/>
    <row r="2" spans="1:46" s="72" customFormat="1" ht="19.5" customHeight="1" x14ac:dyDescent="0.25">
      <c r="A2" s="97"/>
      <c r="B2" s="18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5"/>
      <c r="N2" s="604"/>
      <c r="O2" s="604"/>
      <c r="P2" s="604"/>
      <c r="Q2" s="604"/>
      <c r="R2" s="187"/>
      <c r="V2" s="1293">
        <f>YEAR('Исходные данные'!J12)</f>
        <v>2008</v>
      </c>
    </row>
    <row r="3" spans="1:46" s="72" customFormat="1" x14ac:dyDescent="0.25">
      <c r="A3" s="97"/>
      <c r="B3" s="188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70"/>
      <c r="N3" s="469"/>
      <c r="O3" s="469"/>
      <c r="P3" s="469"/>
      <c r="Q3" s="469"/>
      <c r="R3" s="189"/>
      <c r="S3" s="745"/>
      <c r="V3" s="1293">
        <f>YEAR(Параметры!B5)</f>
        <v>2024</v>
      </c>
    </row>
    <row r="4" spans="1:46" s="72" customFormat="1" x14ac:dyDescent="0.25">
      <c r="A4" s="97"/>
      <c r="B4" s="188"/>
      <c r="C4" s="469"/>
      <c r="D4" s="469"/>
      <c r="E4" s="469"/>
      <c r="F4" s="469"/>
      <c r="G4" s="469"/>
      <c r="H4" s="469"/>
      <c r="I4" s="469"/>
      <c r="J4" s="469"/>
      <c r="K4" s="469"/>
      <c r="L4" s="469"/>
      <c r="M4" s="470"/>
      <c r="N4" s="469"/>
      <c r="O4" s="469"/>
      <c r="P4" s="469"/>
      <c r="Q4" s="469"/>
      <c r="R4" s="189"/>
      <c r="S4" s="745"/>
      <c r="V4" s="1293">
        <f>(V2 - V3)*0.02</f>
        <v>-0.32</v>
      </c>
    </row>
    <row r="5" spans="1:46" s="72" customFormat="1" ht="15.75" x14ac:dyDescent="0.25">
      <c r="A5" s="97"/>
      <c r="B5" s="188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70"/>
      <c r="N5" s="469"/>
      <c r="O5" s="469"/>
      <c r="P5" s="469"/>
      <c r="Q5" s="469"/>
      <c r="R5" s="189"/>
      <c r="S5" s="745"/>
      <c r="V5" s="1294">
        <f>V4 +G13</f>
        <v>0.46</v>
      </c>
    </row>
    <row r="6" spans="1:46" s="72" customFormat="1" ht="15" customHeight="1" x14ac:dyDescent="0.25">
      <c r="A6" s="97"/>
      <c r="B6" s="188"/>
      <c r="C6" s="469"/>
      <c r="D6" s="469"/>
      <c r="E6" s="469"/>
      <c r="F6" s="469"/>
      <c r="G6" s="469"/>
      <c r="H6" s="469"/>
      <c r="I6" s="469"/>
      <c r="J6" s="469"/>
      <c r="K6" s="469"/>
      <c r="L6" s="469"/>
      <c r="M6" s="470"/>
      <c r="N6" s="469"/>
      <c r="O6" s="469"/>
      <c r="P6" s="469"/>
      <c r="Q6" s="469"/>
      <c r="R6" s="189"/>
      <c r="S6" s="745"/>
    </row>
    <row r="7" spans="1:46" s="72" customFormat="1" ht="20.25" customHeight="1" x14ac:dyDescent="0.25">
      <c r="A7" s="97"/>
      <c r="B7" s="606"/>
      <c r="C7" s="469"/>
      <c r="D7" s="469"/>
      <c r="E7" s="469"/>
      <c r="F7" s="469"/>
      <c r="G7" s="469"/>
      <c r="H7" s="1368" t="str">
        <f xml:space="preserve"> CONCATENATE("Расчет военной пенсии на   ",TEXT('Исходные данные'!J12,"ДД.ММ.ГГГГ"))</f>
        <v>Расчет военной пенсии на   15.08.2008</v>
      </c>
      <c r="I7" s="1362"/>
      <c r="J7" s="1362"/>
      <c r="K7" s="1362"/>
      <c r="L7" s="1362"/>
      <c r="M7" s="1396"/>
      <c r="N7" s="744"/>
      <c r="O7" s="469"/>
      <c r="P7" s="469"/>
      <c r="Q7" s="469"/>
      <c r="R7" s="513"/>
      <c r="S7" s="745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</row>
    <row r="8" spans="1:46" s="72" customFormat="1" ht="7.5" customHeight="1" x14ac:dyDescent="0.25">
      <c r="A8" s="97"/>
      <c r="B8" s="606"/>
      <c r="C8" s="469"/>
      <c r="D8" s="469"/>
      <c r="E8" s="469"/>
      <c r="F8" s="469"/>
      <c r="G8" s="469"/>
      <c r="H8" s="469"/>
      <c r="I8" s="469"/>
      <c r="J8" s="469"/>
      <c r="K8" s="469"/>
      <c r="L8" s="469"/>
      <c r="M8" s="470"/>
      <c r="N8" s="469"/>
      <c r="O8" s="469"/>
      <c r="P8" s="469"/>
      <c r="Q8" s="469"/>
      <c r="R8" s="513"/>
      <c r="S8" s="745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</row>
    <row r="9" spans="1:46" s="72" customFormat="1" ht="15" customHeight="1" x14ac:dyDescent="0.25">
      <c r="A9" s="97"/>
      <c r="B9" s="606"/>
      <c r="C9" s="469"/>
      <c r="D9" s="1104" t="s">
        <v>14</v>
      </c>
      <c r="E9" s="1105"/>
      <c r="F9" s="1375" t="str">
        <f>'Исходные данные'!E14</f>
        <v>Подполковник</v>
      </c>
      <c r="G9" s="1373"/>
      <c r="H9" s="1085" t="s">
        <v>278</v>
      </c>
      <c r="I9" s="1106">
        <f>'Исходные данные'!J14</f>
        <v>22</v>
      </c>
      <c r="J9" s="1085" t="s">
        <v>166</v>
      </c>
      <c r="K9" s="1107">
        <f>'Исходные данные'!J16</f>
        <v>1</v>
      </c>
      <c r="L9" s="1104" t="s">
        <v>38</v>
      </c>
      <c r="M9" s="1108">
        <f>'Исходные данные'!N16</f>
        <v>0.8</v>
      </c>
      <c r="N9" s="1085" t="s">
        <v>165</v>
      </c>
      <c r="O9" s="1107">
        <f>'Исходные данные'!J18</f>
        <v>1</v>
      </c>
      <c r="P9" s="744"/>
      <c r="Q9" s="469"/>
      <c r="R9" s="513"/>
      <c r="S9" s="745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</row>
    <row r="10" spans="1:46" s="72" customFormat="1" ht="15" customHeight="1" x14ac:dyDescent="0.25">
      <c r="A10" s="97"/>
      <c r="B10" s="606"/>
      <c r="C10" s="469"/>
      <c r="D10" s="744"/>
      <c r="E10" s="1072"/>
      <c r="F10" s="1072"/>
      <c r="G10" s="1153"/>
      <c r="H10" s="1154"/>
      <c r="I10" s="1072"/>
      <c r="J10" s="1153"/>
      <c r="K10" s="1072"/>
      <c r="L10" s="1155"/>
      <c r="M10" s="1072"/>
      <c r="N10" s="1156"/>
      <c r="O10" s="1072"/>
      <c r="P10" s="1155"/>
      <c r="Q10" s="469"/>
      <c r="R10" s="513"/>
      <c r="S10" s="745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</row>
    <row r="11" spans="1:46" s="72" customFormat="1" ht="15.75" customHeight="1" x14ac:dyDescent="0.25">
      <c r="A11" s="97"/>
      <c r="B11" s="606"/>
      <c r="C11" s="469"/>
      <c r="D11" s="469"/>
      <c r="E11" s="469"/>
      <c r="F11" s="861"/>
      <c r="G11" s="469"/>
      <c r="H11" s="1368" t="str">
        <f xml:space="preserve">  CONCATENATE("Военная пенсия на ",TEXT(Параметры!B5,"ДД.ММ.ГГГГ"))</f>
        <v>Военная пенсия на 01.10.2024</v>
      </c>
      <c r="I11" s="1362"/>
      <c r="J11" s="1362"/>
      <c r="K11" s="1362"/>
      <c r="L11" s="1362"/>
      <c r="M11" s="1396"/>
      <c r="N11" s="744"/>
      <c r="O11" s="820"/>
      <c r="P11" s="820"/>
      <c r="Q11" s="469"/>
      <c r="R11" s="513"/>
      <c r="S11" s="745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</row>
    <row r="12" spans="1:46" s="72" customFormat="1" ht="3" customHeight="1" x14ac:dyDescent="0.25">
      <c r="A12" s="97"/>
      <c r="B12" s="606"/>
      <c r="C12" s="469"/>
      <c r="D12" s="469"/>
      <c r="E12" s="469"/>
      <c r="F12" s="861"/>
      <c r="G12" s="469"/>
      <c r="H12" s="820"/>
      <c r="I12" s="820"/>
      <c r="J12" s="820"/>
      <c r="K12" s="820"/>
      <c r="L12" s="820"/>
      <c r="M12" s="842"/>
      <c r="N12" s="820"/>
      <c r="O12" s="820"/>
      <c r="P12" s="820"/>
      <c r="Q12" s="469"/>
      <c r="R12" s="513"/>
      <c r="S12" s="745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</row>
    <row r="13" spans="1:46" s="72" customFormat="1" ht="18" customHeight="1" x14ac:dyDescent="0.25">
      <c r="A13" s="97"/>
      <c r="B13" s="606"/>
      <c r="C13" s="469"/>
      <c r="D13" s="1088" t="s">
        <v>279</v>
      </c>
      <c r="E13" s="1089">
        <f ca="1" xml:space="preserve"> VLOOKUP(Параметры!B7,__ВПрасч3,7,0)</f>
        <v>42560</v>
      </c>
      <c r="F13" s="1088" t="s">
        <v>1</v>
      </c>
      <c r="G13" s="1090">
        <f>VLOOKUP(Параметры!B4,__Периоды,3,0)</f>
        <v>0.78</v>
      </c>
      <c r="H13" s="1132" t="s">
        <v>280</v>
      </c>
      <c r="I13" s="1089">
        <f ca="1">E13*G13</f>
        <v>33196.800000000003</v>
      </c>
      <c r="J13" s="1085" t="s">
        <v>228</v>
      </c>
      <c r="K13" s="1090">
        <f>VLOOKUP(Параметры!$B$4,__Периоды,10,0)</f>
        <v>0</v>
      </c>
      <c r="L13" s="1088" t="s">
        <v>239</v>
      </c>
      <c r="M13" s="1089">
        <f ca="1">ROUND(I13*K13,2)</f>
        <v>0</v>
      </c>
      <c r="N13" s="1088" t="s">
        <v>229</v>
      </c>
      <c r="O13" s="1089">
        <f ca="1">I13+M13</f>
        <v>33196.800000000003</v>
      </c>
      <c r="P13" s="1088" t="s">
        <v>281</v>
      </c>
      <c r="Q13" s="1089" t="e">
        <f ca="1">(VLOOKUP(Параметры!B4,__ВПрасч3,5,0) + VLOOKUP(Параметры!B4,__ВПрасч3,6,0)) * 1.4 *'Исходные данные'!N18 *G13 *(1+K13)*O9</f>
        <v>#N/A</v>
      </c>
      <c r="R13" s="189"/>
      <c r="S13" s="745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</row>
    <row r="14" spans="1:46" s="72" customFormat="1" ht="10.5" customHeight="1" x14ac:dyDescent="0.25">
      <c r="A14" s="97"/>
      <c r="B14" s="606"/>
      <c r="C14" s="1128"/>
      <c r="D14" s="1128"/>
      <c r="E14" s="1086"/>
      <c r="F14" s="1080"/>
      <c r="G14" s="1134"/>
      <c r="H14" s="1134"/>
      <c r="I14" s="1134"/>
      <c r="J14" s="1134"/>
      <c r="K14" s="1134"/>
      <c r="L14" s="1134"/>
      <c r="M14" s="1078"/>
      <c r="N14" s="1079"/>
      <c r="O14" s="1080"/>
      <c r="P14" s="1081"/>
      <c r="Q14" s="1080"/>
      <c r="R14" s="1157"/>
      <c r="S14" s="745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</row>
    <row r="15" spans="1:46" s="72" customFormat="1" ht="15.75" customHeight="1" x14ac:dyDescent="0.25">
      <c r="A15" s="97"/>
      <c r="B15" s="606"/>
      <c r="C15" s="1142"/>
      <c r="D15" s="1142"/>
      <c r="E15" s="1086"/>
      <c r="F15" s="1080"/>
      <c r="G15" s="1134"/>
      <c r="H15" s="1361" t="str">
        <f xml:space="preserve">  CONCATENATE("Военная пенсия на ",TEXT('Исходные данные'!J12,"ДД.ММ.ГГГГ"))</f>
        <v>Военная пенсия на 15.08.2008</v>
      </c>
      <c r="I15" s="1362"/>
      <c r="J15" s="1362"/>
      <c r="K15" s="1362"/>
      <c r="L15" s="1362"/>
      <c r="M15" s="1396"/>
      <c r="N15" s="744"/>
      <c r="O15" s="1080"/>
      <c r="P15" s="1081"/>
      <c r="Q15" s="1080"/>
      <c r="R15" s="1157"/>
      <c r="S15" s="745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</row>
    <row r="16" spans="1:46" s="72" customFormat="1" ht="3.75" customHeight="1" x14ac:dyDescent="0.25">
      <c r="A16" s="97"/>
      <c r="B16" s="606"/>
      <c r="C16" s="1142"/>
      <c r="D16" s="1142"/>
      <c r="E16" s="1086"/>
      <c r="F16" s="1080"/>
      <c r="G16" s="1134"/>
      <c r="H16" s="1134"/>
      <c r="I16" s="1134"/>
      <c r="J16" s="1134"/>
      <c r="K16" s="1134"/>
      <c r="L16" s="1134"/>
      <c r="M16" s="1078"/>
      <c r="N16" s="1079"/>
      <c r="O16" s="1080"/>
      <c r="P16" s="1081"/>
      <c r="Q16" s="1080"/>
      <c r="R16" s="1157"/>
      <c r="S16" s="745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</row>
    <row r="17" spans="1:46" s="72" customFormat="1" ht="18" customHeight="1" x14ac:dyDescent="0.25">
      <c r="A17" s="97"/>
      <c r="B17" s="606"/>
      <c r="C17" s="1128"/>
      <c r="D17" s="1088" t="s">
        <v>279</v>
      </c>
      <c r="E17" s="1126">
        <f ca="1" xml:space="preserve"> E13</f>
        <v>42560</v>
      </c>
      <c r="F17" s="1088" t="s">
        <v>285</v>
      </c>
      <c r="G17" s="1133">
        <f>IF(V5 &gt; 1,1,V5)</f>
        <v>0.46</v>
      </c>
      <c r="H17" s="1132" t="s">
        <v>280</v>
      </c>
      <c r="I17" s="1126">
        <f ca="1">E17*G17</f>
        <v>19577.600000000002</v>
      </c>
      <c r="J17" s="1085" t="s">
        <v>228</v>
      </c>
      <c r="K17" s="1127"/>
      <c r="L17" s="1088" t="s">
        <v>239</v>
      </c>
      <c r="M17" s="1089">
        <f ca="1">ROUND(I17*K17,2)</f>
        <v>0</v>
      </c>
      <c r="N17" s="1088" t="s">
        <v>229</v>
      </c>
      <c r="O17" s="1089">
        <f ca="1">I17+M17</f>
        <v>19577.600000000002</v>
      </c>
      <c r="P17" s="1088" t="s">
        <v>281</v>
      </c>
      <c r="Q17" s="1126" t="e">
        <f ca="1">(VLOOKUP(Параметры!B4,__ВПрасч3,5,0) + VLOOKUP(Параметры!B4,__ВПрасч3,6,0)) * 1.4 *'Исходные данные'!N18 *G17 *(1+K17)*O9</f>
        <v>#N/A</v>
      </c>
      <c r="R17" s="189"/>
      <c r="S17" s="745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</row>
    <row r="18" spans="1:46" s="72" customFormat="1" ht="18" customHeight="1" x14ac:dyDescent="0.25">
      <c r="A18" s="97"/>
      <c r="B18" s="606"/>
      <c r="C18" s="469"/>
      <c r="D18" s="1111"/>
      <c r="E18" s="1111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513"/>
      <c r="S18" s="745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</row>
    <row r="19" spans="1:46" s="62" customFormat="1" ht="15.75" thickBot="1" x14ac:dyDescent="0.3">
      <c r="A19" s="99"/>
      <c r="B19" s="1135"/>
      <c r="C19" s="1130"/>
      <c r="D19" s="1130"/>
      <c r="E19" s="1130"/>
      <c r="F19" s="1130"/>
      <c r="G19" s="1130"/>
      <c r="H19" s="1130"/>
      <c r="I19" s="1130"/>
      <c r="J19" s="1130"/>
      <c r="K19" s="1130"/>
      <c r="L19" s="1130"/>
      <c r="M19" s="1136"/>
      <c r="N19" s="1130"/>
      <c r="O19" s="1130"/>
      <c r="P19" s="1130"/>
      <c r="Q19" s="1130"/>
      <c r="R19" s="1131"/>
      <c r="S19" s="745"/>
    </row>
    <row r="20" spans="1:46" ht="5.25" customHeight="1" x14ac:dyDescent="0.25">
      <c r="C20" s="745"/>
      <c r="D20" s="745"/>
      <c r="E20" s="745"/>
      <c r="F20" s="745"/>
      <c r="G20" s="745"/>
      <c r="H20" s="745"/>
      <c r="I20" s="745"/>
      <c r="J20" s="745"/>
      <c r="K20" s="745"/>
      <c r="L20" s="745"/>
      <c r="M20" s="746"/>
      <c r="N20" s="745"/>
      <c r="O20" s="745"/>
      <c r="P20" s="745"/>
      <c r="Q20" s="745"/>
      <c r="R20" s="745"/>
      <c r="S20" s="745"/>
    </row>
    <row r="21" spans="1:46" s="62" customFormat="1" x14ac:dyDescent="0.25">
      <c r="A21" s="99"/>
      <c r="M21" s="70"/>
    </row>
    <row r="22" spans="1:46" s="21" customFormat="1" x14ac:dyDescent="0.25">
      <c r="A22" s="100"/>
      <c r="M22" s="24"/>
    </row>
    <row r="23" spans="1:46" s="21" customFormat="1" x14ac:dyDescent="0.25">
      <c r="A23" s="100"/>
      <c r="M23" s="24"/>
    </row>
    <row r="24" spans="1:46" s="21" customFormat="1" x14ac:dyDescent="0.25">
      <c r="A24" s="100"/>
      <c r="M24" s="24"/>
    </row>
    <row r="25" spans="1:46" s="21" customFormat="1" x14ac:dyDescent="0.25">
      <c r="A25" s="100"/>
      <c r="M25" s="24"/>
    </row>
    <row r="26" spans="1:46" s="21" customFormat="1" x14ac:dyDescent="0.25">
      <c r="A26" s="100"/>
      <c r="M26" s="24"/>
    </row>
    <row r="27" spans="1:46" s="21" customFormat="1" x14ac:dyDescent="0.25">
      <c r="A27" s="100"/>
      <c r="M27" s="24"/>
    </row>
    <row r="28" spans="1:46" s="21" customFormat="1" x14ac:dyDescent="0.25">
      <c r="A28" s="100"/>
      <c r="M28" s="24"/>
    </row>
    <row r="29" spans="1:46" s="21" customFormat="1" x14ac:dyDescent="0.25">
      <c r="A29" s="100"/>
      <c r="M29" s="24"/>
    </row>
    <row r="30" spans="1:46" s="21" customFormat="1" x14ac:dyDescent="0.25">
      <c r="A30" s="100"/>
      <c r="M30" s="24"/>
    </row>
    <row r="31" spans="1:46" s="21" customFormat="1" x14ac:dyDescent="0.25">
      <c r="A31" s="100"/>
      <c r="M31" s="24"/>
    </row>
    <row r="32" spans="1:46" s="21" customFormat="1" x14ac:dyDescent="0.25">
      <c r="A32" s="100"/>
      <c r="M32" s="24"/>
    </row>
    <row r="33" spans="1:13" s="21" customFormat="1" x14ac:dyDescent="0.25">
      <c r="A33" s="100"/>
      <c r="M33" s="24"/>
    </row>
    <row r="34" spans="1:13" s="21" customFormat="1" x14ac:dyDescent="0.25">
      <c r="A34" s="100"/>
      <c r="M34" s="24"/>
    </row>
    <row r="35" spans="1:13" s="21" customFormat="1" x14ac:dyDescent="0.25">
      <c r="A35" s="100"/>
      <c r="M35" s="24"/>
    </row>
    <row r="36" spans="1:13" s="19" customFormat="1" x14ac:dyDescent="0.25">
      <c r="A36" s="101"/>
      <c r="M36" s="20"/>
    </row>
    <row r="37" spans="1:13" s="19" customFormat="1" x14ac:dyDescent="0.25">
      <c r="A37" s="101"/>
      <c r="M37" s="20"/>
    </row>
    <row r="38" spans="1:13" s="19" customFormat="1" x14ac:dyDescent="0.25">
      <c r="A38" s="101"/>
      <c r="M38" s="20"/>
    </row>
    <row r="39" spans="1:13" s="19" customFormat="1" x14ac:dyDescent="0.25">
      <c r="A39" s="101"/>
      <c r="M39" s="20"/>
    </row>
    <row r="40" spans="1:13" s="19" customFormat="1" x14ac:dyDescent="0.25">
      <c r="A40" s="101"/>
      <c r="M40" s="20"/>
    </row>
    <row r="41" spans="1:13" s="19" customFormat="1" x14ac:dyDescent="0.25">
      <c r="A41" s="101"/>
      <c r="M41" s="20"/>
    </row>
    <row r="42" spans="1:13" s="19" customFormat="1" x14ac:dyDescent="0.25">
      <c r="A42" s="101"/>
      <c r="M42" s="20"/>
    </row>
    <row r="43" spans="1:13" s="19" customFormat="1" x14ac:dyDescent="0.25">
      <c r="A43" s="101"/>
      <c r="M43" s="20"/>
    </row>
    <row r="44" spans="1:13" s="19" customFormat="1" x14ac:dyDescent="0.25">
      <c r="A44" s="101"/>
      <c r="M44" s="20"/>
    </row>
    <row r="45" spans="1:13" s="19" customFormat="1" x14ac:dyDescent="0.25">
      <c r="A45" s="101"/>
      <c r="M45" s="20"/>
    </row>
    <row r="46" spans="1:13" s="19" customFormat="1" x14ac:dyDescent="0.25">
      <c r="A46" s="101"/>
      <c r="M46" s="20"/>
    </row>
    <row r="47" spans="1:13" s="19" customFormat="1" x14ac:dyDescent="0.25">
      <c r="A47" s="101"/>
      <c r="M47" s="20"/>
    </row>
    <row r="48" spans="1:13" s="19" customFormat="1" x14ac:dyDescent="0.25">
      <c r="A48" s="101"/>
      <c r="M48" s="20"/>
    </row>
    <row r="49" spans="1:13" s="19" customFormat="1" x14ac:dyDescent="0.25">
      <c r="A49" s="101"/>
      <c r="M49" s="20"/>
    </row>
    <row r="50" spans="1:13" s="19" customFormat="1" x14ac:dyDescent="0.25">
      <c r="A50" s="101"/>
      <c r="M50" s="20"/>
    </row>
    <row r="51" spans="1:13" s="19" customFormat="1" x14ac:dyDescent="0.25">
      <c r="A51" s="101"/>
      <c r="M51" s="20"/>
    </row>
    <row r="52" spans="1:13" s="19" customFormat="1" x14ac:dyDescent="0.25">
      <c r="A52" s="101"/>
      <c r="M52" s="20"/>
    </row>
    <row r="53" spans="1:13" s="19" customFormat="1" x14ac:dyDescent="0.25">
      <c r="A53" s="101"/>
      <c r="M53" s="20"/>
    </row>
    <row r="54" spans="1:13" s="19" customFormat="1" x14ac:dyDescent="0.25">
      <c r="A54" s="101"/>
      <c r="M54" s="20"/>
    </row>
    <row r="55" spans="1:13" s="19" customFormat="1" x14ac:dyDescent="0.25">
      <c r="A55" s="101"/>
      <c r="M55" s="20"/>
    </row>
    <row r="56" spans="1:13" s="19" customFormat="1" x14ac:dyDescent="0.25">
      <c r="A56" s="101"/>
      <c r="M56" s="20"/>
    </row>
    <row r="57" spans="1:13" s="19" customFormat="1" x14ac:dyDescent="0.25">
      <c r="A57" s="101"/>
      <c r="M57" s="20"/>
    </row>
    <row r="58" spans="1:13" s="19" customFormat="1" x14ac:dyDescent="0.25">
      <c r="A58" s="101"/>
      <c r="M58" s="20"/>
    </row>
    <row r="59" spans="1:13" s="19" customFormat="1" x14ac:dyDescent="0.25">
      <c r="A59" s="101"/>
      <c r="M59" s="20"/>
    </row>
    <row r="60" spans="1:13" s="19" customFormat="1" x14ac:dyDescent="0.25">
      <c r="A60" s="101"/>
      <c r="M60" s="20"/>
    </row>
    <row r="61" spans="1:13" s="19" customFormat="1" x14ac:dyDescent="0.25">
      <c r="A61" s="101"/>
      <c r="M61" s="20"/>
    </row>
    <row r="62" spans="1:13" s="19" customFormat="1" x14ac:dyDescent="0.25">
      <c r="A62" s="101"/>
      <c r="M62" s="20"/>
    </row>
    <row r="63" spans="1:13" s="19" customFormat="1" x14ac:dyDescent="0.25">
      <c r="A63" s="101"/>
      <c r="M63" s="20"/>
    </row>
    <row r="64" spans="1:13" s="19" customFormat="1" x14ac:dyDescent="0.25">
      <c r="A64" s="101"/>
      <c r="M64" s="20"/>
    </row>
    <row r="65" spans="1:13" s="19" customFormat="1" x14ac:dyDescent="0.25">
      <c r="A65" s="101"/>
      <c r="M65" s="20"/>
    </row>
    <row r="66" spans="1:13" s="19" customFormat="1" x14ac:dyDescent="0.25">
      <c r="A66" s="101"/>
      <c r="M66" s="20"/>
    </row>
    <row r="67" spans="1:13" s="19" customFormat="1" x14ac:dyDescent="0.25">
      <c r="A67" s="101"/>
      <c r="M67" s="20"/>
    </row>
    <row r="68" spans="1:13" s="19" customFormat="1" x14ac:dyDescent="0.25">
      <c r="A68" s="101"/>
      <c r="M68" s="20"/>
    </row>
    <row r="69" spans="1:13" s="19" customFormat="1" x14ac:dyDescent="0.25">
      <c r="A69" s="101"/>
      <c r="M69" s="20"/>
    </row>
    <row r="70" spans="1:13" s="19" customFormat="1" x14ac:dyDescent="0.25">
      <c r="A70" s="101"/>
      <c r="M70" s="20"/>
    </row>
    <row r="71" spans="1:13" s="19" customFormat="1" x14ac:dyDescent="0.25">
      <c r="A71" s="101"/>
      <c r="M71" s="20"/>
    </row>
    <row r="72" spans="1:13" s="19" customFormat="1" x14ac:dyDescent="0.25">
      <c r="A72" s="101"/>
      <c r="M72" s="20"/>
    </row>
    <row r="73" spans="1:13" s="19" customFormat="1" x14ac:dyDescent="0.25">
      <c r="A73" s="101"/>
      <c r="M73" s="20"/>
    </row>
    <row r="74" spans="1:13" s="19" customFormat="1" x14ac:dyDescent="0.25">
      <c r="A74" s="101"/>
      <c r="M74" s="20"/>
    </row>
    <row r="75" spans="1:13" s="19" customFormat="1" x14ac:dyDescent="0.25">
      <c r="A75" s="101"/>
      <c r="M75" s="20"/>
    </row>
    <row r="76" spans="1:13" s="19" customFormat="1" x14ac:dyDescent="0.25">
      <c r="A76" s="101"/>
      <c r="M76" s="20"/>
    </row>
    <row r="77" spans="1:13" s="19" customFormat="1" x14ac:dyDescent="0.25">
      <c r="A77" s="101"/>
      <c r="M77" s="20"/>
    </row>
    <row r="78" spans="1:13" s="19" customFormat="1" x14ac:dyDescent="0.25">
      <c r="A78" s="101"/>
      <c r="M78" s="20"/>
    </row>
    <row r="79" spans="1:13" s="19" customFormat="1" x14ac:dyDescent="0.25">
      <c r="A79" s="101"/>
      <c r="M79" s="20"/>
    </row>
    <row r="80" spans="1:13" s="19" customFormat="1" x14ac:dyDescent="0.25">
      <c r="A80" s="101"/>
      <c r="M80" s="20"/>
    </row>
    <row r="81" spans="1:13" s="19" customFormat="1" x14ac:dyDescent="0.25">
      <c r="A81" s="101"/>
      <c r="M81" s="20"/>
    </row>
    <row r="82" spans="1:13" s="19" customFormat="1" x14ac:dyDescent="0.25">
      <c r="A82" s="101"/>
      <c r="M82" s="20"/>
    </row>
    <row r="83" spans="1:13" s="19" customFormat="1" x14ac:dyDescent="0.25">
      <c r="A83" s="101"/>
      <c r="M83" s="20"/>
    </row>
    <row r="84" spans="1:13" s="19" customFormat="1" x14ac:dyDescent="0.25">
      <c r="A84" s="101"/>
      <c r="M84" s="20"/>
    </row>
    <row r="85" spans="1:13" s="19" customFormat="1" x14ac:dyDescent="0.25">
      <c r="A85" s="101"/>
      <c r="M85" s="20"/>
    </row>
    <row r="86" spans="1:13" s="19" customFormat="1" x14ac:dyDescent="0.25">
      <c r="A86" s="101"/>
      <c r="M86" s="20"/>
    </row>
    <row r="87" spans="1:13" s="19" customFormat="1" x14ac:dyDescent="0.25">
      <c r="A87" s="101"/>
      <c r="M87" s="20"/>
    </row>
    <row r="88" spans="1:13" s="19" customFormat="1" x14ac:dyDescent="0.25">
      <c r="A88" s="101"/>
      <c r="M88" s="20"/>
    </row>
    <row r="89" spans="1:13" s="19" customFormat="1" x14ac:dyDescent="0.25">
      <c r="A89" s="101"/>
      <c r="M89" s="20"/>
    </row>
    <row r="90" spans="1:13" s="19" customFormat="1" x14ac:dyDescent="0.25">
      <c r="A90" s="101"/>
      <c r="M90" s="20"/>
    </row>
    <row r="91" spans="1:13" s="19" customFormat="1" x14ac:dyDescent="0.25">
      <c r="A91" s="101"/>
      <c r="M91" s="20"/>
    </row>
    <row r="92" spans="1:13" s="19" customFormat="1" x14ac:dyDescent="0.25">
      <c r="A92" s="101"/>
      <c r="M92" s="20"/>
    </row>
    <row r="93" spans="1:13" s="19" customFormat="1" x14ac:dyDescent="0.25">
      <c r="A93" s="101"/>
      <c r="M93" s="20"/>
    </row>
    <row r="94" spans="1:13" s="19" customFormat="1" x14ac:dyDescent="0.25">
      <c r="A94" s="101"/>
      <c r="M94" s="20"/>
    </row>
    <row r="95" spans="1:13" s="19" customFormat="1" x14ac:dyDescent="0.25">
      <c r="A95" s="101"/>
      <c r="M95" s="20"/>
    </row>
    <row r="96" spans="1:13" s="19" customFormat="1" x14ac:dyDescent="0.25">
      <c r="A96" s="101"/>
      <c r="M96" s="20"/>
    </row>
    <row r="97" spans="1:13" s="19" customFormat="1" x14ac:dyDescent="0.25">
      <c r="A97" s="101"/>
      <c r="M97" s="20"/>
    </row>
    <row r="98" spans="1:13" s="19" customFormat="1" x14ac:dyDescent="0.25">
      <c r="A98" s="101"/>
      <c r="M98" s="20"/>
    </row>
    <row r="99" spans="1:13" s="19" customFormat="1" x14ac:dyDescent="0.25">
      <c r="A99" s="101"/>
      <c r="M99" s="20"/>
    </row>
    <row r="100" spans="1:13" s="19" customFormat="1" x14ac:dyDescent="0.25">
      <c r="A100" s="101"/>
      <c r="M100" s="20"/>
    </row>
    <row r="101" spans="1:13" s="19" customFormat="1" x14ac:dyDescent="0.25">
      <c r="A101" s="101"/>
      <c r="M101" s="20"/>
    </row>
    <row r="102" spans="1:13" s="19" customFormat="1" x14ac:dyDescent="0.25">
      <c r="A102" s="101"/>
      <c r="M102" s="20"/>
    </row>
    <row r="103" spans="1:13" s="19" customFormat="1" x14ac:dyDescent="0.25">
      <c r="A103" s="101"/>
      <c r="M103" s="20"/>
    </row>
    <row r="104" spans="1:13" s="19" customFormat="1" x14ac:dyDescent="0.25">
      <c r="A104" s="101"/>
      <c r="M104" s="20"/>
    </row>
    <row r="105" spans="1:13" s="19" customFormat="1" x14ac:dyDescent="0.25">
      <c r="A105" s="101"/>
      <c r="M105" s="20"/>
    </row>
    <row r="106" spans="1:13" s="19" customFormat="1" x14ac:dyDescent="0.25">
      <c r="A106" s="101"/>
      <c r="M106" s="20"/>
    </row>
    <row r="107" spans="1:13" s="19" customFormat="1" x14ac:dyDescent="0.25">
      <c r="A107" s="101"/>
      <c r="M107" s="20"/>
    </row>
    <row r="108" spans="1:13" s="19" customFormat="1" x14ac:dyDescent="0.25">
      <c r="A108" s="101"/>
      <c r="M108" s="20"/>
    </row>
    <row r="109" spans="1:13" s="19" customFormat="1" x14ac:dyDescent="0.25">
      <c r="A109" s="101"/>
      <c r="M109" s="20"/>
    </row>
    <row r="110" spans="1:13" s="15" customFormat="1" x14ac:dyDescent="0.25">
      <c r="A110" s="102"/>
      <c r="M110" s="16"/>
    </row>
    <row r="111" spans="1:13" s="15" customFormat="1" x14ac:dyDescent="0.25">
      <c r="A111" s="102"/>
      <c r="M111" s="16"/>
    </row>
    <row r="112" spans="1:13" s="15" customFormat="1" x14ac:dyDescent="0.25">
      <c r="A112" s="102"/>
      <c r="M112" s="16"/>
    </row>
    <row r="113" spans="1:13" s="15" customFormat="1" x14ac:dyDescent="0.25">
      <c r="A113" s="102"/>
      <c r="M113" s="16"/>
    </row>
    <row r="114" spans="1:13" s="15" customFormat="1" x14ac:dyDescent="0.25">
      <c r="A114" s="102"/>
      <c r="M114" s="16"/>
    </row>
    <row r="115" spans="1:13" s="15" customFormat="1" x14ac:dyDescent="0.25">
      <c r="A115" s="102"/>
      <c r="M115" s="16"/>
    </row>
    <row r="116" spans="1:13" s="15" customFormat="1" x14ac:dyDescent="0.25">
      <c r="A116" s="102"/>
      <c r="M116" s="16"/>
    </row>
    <row r="117" spans="1:13" s="15" customFormat="1" x14ac:dyDescent="0.25">
      <c r="A117" s="102"/>
      <c r="M117" s="16"/>
    </row>
    <row r="118" spans="1:13" s="15" customFormat="1" x14ac:dyDescent="0.25">
      <c r="A118" s="102"/>
      <c r="M118" s="16"/>
    </row>
    <row r="119" spans="1:13" s="15" customFormat="1" x14ac:dyDescent="0.25">
      <c r="A119" s="102"/>
      <c r="M119" s="16"/>
    </row>
    <row r="120" spans="1:13" s="15" customFormat="1" x14ac:dyDescent="0.25">
      <c r="A120" s="102"/>
      <c r="M120" s="16"/>
    </row>
    <row r="121" spans="1:13" s="15" customFormat="1" x14ac:dyDescent="0.25">
      <c r="A121" s="102"/>
      <c r="M121" s="16"/>
    </row>
    <row r="122" spans="1:13" s="15" customFormat="1" x14ac:dyDescent="0.25">
      <c r="A122" s="102"/>
      <c r="M122" s="16"/>
    </row>
    <row r="123" spans="1:13" s="15" customFormat="1" x14ac:dyDescent="0.25">
      <c r="A123" s="102"/>
      <c r="M123" s="16"/>
    </row>
    <row r="124" spans="1:13" s="15" customFormat="1" x14ac:dyDescent="0.25">
      <c r="A124" s="102"/>
      <c r="M124" s="16"/>
    </row>
    <row r="125" spans="1:13" s="15" customFormat="1" x14ac:dyDescent="0.25">
      <c r="A125" s="102"/>
      <c r="M125" s="16"/>
    </row>
    <row r="126" spans="1:13" s="15" customFormat="1" x14ac:dyDescent="0.25">
      <c r="A126" s="102"/>
      <c r="M126" s="16"/>
    </row>
    <row r="127" spans="1:13" s="15" customFormat="1" x14ac:dyDescent="0.25">
      <c r="A127" s="102"/>
      <c r="M127" s="16"/>
    </row>
    <row r="128" spans="1:13" s="15" customFormat="1" x14ac:dyDescent="0.25">
      <c r="A128" s="102"/>
      <c r="M128" s="16"/>
    </row>
    <row r="129" spans="1:13" s="15" customFormat="1" x14ac:dyDescent="0.25">
      <c r="A129" s="102"/>
      <c r="M129" s="16"/>
    </row>
    <row r="130" spans="1:13" s="15" customFormat="1" x14ac:dyDescent="0.25">
      <c r="A130" s="102"/>
      <c r="M130" s="16"/>
    </row>
    <row r="131" spans="1:13" s="15" customFormat="1" x14ac:dyDescent="0.25">
      <c r="A131" s="102"/>
      <c r="M131" s="16"/>
    </row>
    <row r="132" spans="1:13" s="15" customFormat="1" x14ac:dyDescent="0.25">
      <c r="A132" s="102"/>
      <c r="M132" s="16"/>
    </row>
    <row r="133" spans="1:13" s="15" customFormat="1" x14ac:dyDescent="0.25">
      <c r="A133" s="102"/>
      <c r="M133" s="16"/>
    </row>
    <row r="134" spans="1:13" s="15" customFormat="1" x14ac:dyDescent="0.25">
      <c r="A134" s="102"/>
      <c r="M134" s="16"/>
    </row>
    <row r="135" spans="1:13" s="15" customFormat="1" x14ac:dyDescent="0.25">
      <c r="A135" s="102"/>
      <c r="M135" s="16"/>
    </row>
    <row r="136" spans="1:13" s="15" customFormat="1" x14ac:dyDescent="0.25">
      <c r="A136" s="102"/>
      <c r="M136" s="16"/>
    </row>
    <row r="137" spans="1:13" s="15" customFormat="1" x14ac:dyDescent="0.25">
      <c r="A137" s="102"/>
      <c r="M137" s="16"/>
    </row>
    <row r="138" spans="1:13" s="15" customFormat="1" x14ac:dyDescent="0.25">
      <c r="A138" s="102"/>
      <c r="M138" s="16"/>
    </row>
    <row r="139" spans="1:13" s="15" customFormat="1" x14ac:dyDescent="0.25">
      <c r="A139" s="102"/>
      <c r="M139" s="16"/>
    </row>
    <row r="140" spans="1:13" s="15" customFormat="1" x14ac:dyDescent="0.25">
      <c r="A140" s="102"/>
      <c r="M140" s="16"/>
    </row>
    <row r="141" spans="1:13" s="15" customFormat="1" x14ac:dyDescent="0.25">
      <c r="A141" s="102"/>
      <c r="M141" s="16"/>
    </row>
    <row r="142" spans="1:13" s="15" customFormat="1" x14ac:dyDescent="0.25">
      <c r="A142" s="102"/>
      <c r="M142" s="16"/>
    </row>
    <row r="143" spans="1:13" s="15" customFormat="1" x14ac:dyDescent="0.25">
      <c r="A143" s="102"/>
      <c r="M143" s="16"/>
    </row>
    <row r="144" spans="1:13" s="15" customFormat="1" x14ac:dyDescent="0.25">
      <c r="A144" s="102"/>
      <c r="M144" s="16"/>
    </row>
    <row r="145" spans="1:13" s="15" customFormat="1" x14ac:dyDescent="0.25">
      <c r="A145" s="102"/>
      <c r="M145" s="16"/>
    </row>
    <row r="146" spans="1:13" s="15" customFormat="1" x14ac:dyDescent="0.25">
      <c r="A146" s="102"/>
      <c r="M146" s="16"/>
    </row>
    <row r="147" spans="1:13" s="15" customFormat="1" x14ac:dyDescent="0.25">
      <c r="A147" s="102"/>
      <c r="M147" s="16"/>
    </row>
    <row r="148" spans="1:13" s="15" customFormat="1" x14ac:dyDescent="0.25">
      <c r="A148" s="102"/>
      <c r="M148" s="16"/>
    </row>
    <row r="149" spans="1:13" s="15" customFormat="1" x14ac:dyDescent="0.25">
      <c r="A149" s="102"/>
      <c r="M149" s="16"/>
    </row>
    <row r="150" spans="1:13" s="15" customFormat="1" x14ac:dyDescent="0.25">
      <c r="A150" s="102"/>
      <c r="M150" s="16"/>
    </row>
    <row r="151" spans="1:13" s="15" customFormat="1" x14ac:dyDescent="0.25">
      <c r="A151" s="102"/>
      <c r="M151" s="16"/>
    </row>
    <row r="152" spans="1:13" s="15" customFormat="1" x14ac:dyDescent="0.25">
      <c r="A152" s="102"/>
      <c r="M152" s="16"/>
    </row>
    <row r="153" spans="1:13" s="15" customFormat="1" x14ac:dyDescent="0.25">
      <c r="A153" s="102"/>
      <c r="M153" s="16"/>
    </row>
    <row r="154" spans="1:13" s="15" customFormat="1" x14ac:dyDescent="0.25">
      <c r="A154" s="102"/>
      <c r="M154" s="16"/>
    </row>
    <row r="155" spans="1:13" s="15" customFormat="1" x14ac:dyDescent="0.25">
      <c r="A155" s="102"/>
      <c r="M155" s="16"/>
    </row>
    <row r="156" spans="1:13" s="15" customFormat="1" x14ac:dyDescent="0.25">
      <c r="A156" s="102"/>
      <c r="M156" s="16"/>
    </row>
    <row r="157" spans="1:13" s="15" customFormat="1" x14ac:dyDescent="0.25">
      <c r="A157" s="102"/>
      <c r="M157" s="16"/>
    </row>
    <row r="158" spans="1:13" s="15" customFormat="1" x14ac:dyDescent="0.25">
      <c r="A158" s="102"/>
      <c r="M158" s="16"/>
    </row>
    <row r="159" spans="1:13" s="15" customFormat="1" x14ac:dyDescent="0.25">
      <c r="A159" s="102"/>
      <c r="M159" s="16"/>
    </row>
    <row r="160" spans="1:13" s="15" customFormat="1" x14ac:dyDescent="0.25">
      <c r="A160" s="102"/>
      <c r="M160" s="16"/>
    </row>
    <row r="161" spans="1:13" s="15" customFormat="1" x14ac:dyDescent="0.25">
      <c r="A161" s="102"/>
      <c r="M161" s="16"/>
    </row>
    <row r="162" spans="1:13" s="15" customFormat="1" x14ac:dyDescent="0.25">
      <c r="A162" s="102"/>
      <c r="M162" s="16"/>
    </row>
    <row r="163" spans="1:13" s="15" customFormat="1" x14ac:dyDescent="0.25">
      <c r="A163" s="102"/>
      <c r="M163" s="16"/>
    </row>
    <row r="164" spans="1:13" s="15" customFormat="1" x14ac:dyDescent="0.25">
      <c r="A164" s="102"/>
      <c r="M164" s="16"/>
    </row>
    <row r="165" spans="1:13" s="15" customFormat="1" x14ac:dyDescent="0.25">
      <c r="A165" s="102"/>
      <c r="M165" s="16"/>
    </row>
    <row r="166" spans="1:13" s="15" customFormat="1" x14ac:dyDescent="0.25">
      <c r="A166" s="102"/>
      <c r="M166" s="16"/>
    </row>
    <row r="167" spans="1:13" s="15" customFormat="1" x14ac:dyDescent="0.25">
      <c r="A167" s="102"/>
      <c r="M167" s="16"/>
    </row>
    <row r="168" spans="1:13" s="15" customFormat="1" x14ac:dyDescent="0.25">
      <c r="A168" s="102"/>
      <c r="M168" s="16"/>
    </row>
    <row r="169" spans="1:13" s="15" customFormat="1" x14ac:dyDescent="0.25">
      <c r="A169" s="102"/>
      <c r="M169" s="16"/>
    </row>
    <row r="170" spans="1:13" s="15" customFormat="1" x14ac:dyDescent="0.25">
      <c r="A170" s="102"/>
      <c r="M170" s="16"/>
    </row>
    <row r="171" spans="1:13" s="15" customFormat="1" x14ac:dyDescent="0.25">
      <c r="A171" s="102"/>
      <c r="M171" s="16"/>
    </row>
    <row r="172" spans="1:13" s="15" customFormat="1" x14ac:dyDescent="0.25">
      <c r="A172" s="102"/>
      <c r="M172" s="16"/>
    </row>
    <row r="173" spans="1:13" s="15" customFormat="1" x14ac:dyDescent="0.25">
      <c r="A173" s="102"/>
      <c r="M173" s="16"/>
    </row>
    <row r="174" spans="1:13" s="15" customFormat="1" x14ac:dyDescent="0.25">
      <c r="A174" s="102"/>
      <c r="M174" s="16"/>
    </row>
    <row r="175" spans="1:13" s="15" customFormat="1" x14ac:dyDescent="0.25">
      <c r="A175" s="102"/>
      <c r="M175" s="16"/>
    </row>
    <row r="176" spans="1:13" s="15" customFormat="1" x14ac:dyDescent="0.25">
      <c r="A176" s="102"/>
      <c r="M176" s="16"/>
    </row>
    <row r="177" spans="1:13" s="15" customFormat="1" x14ac:dyDescent="0.25">
      <c r="A177" s="102"/>
      <c r="M177" s="16"/>
    </row>
    <row r="178" spans="1:13" s="15" customFormat="1" x14ac:dyDescent="0.25">
      <c r="A178" s="102"/>
      <c r="M178" s="16"/>
    </row>
    <row r="179" spans="1:13" s="15" customFormat="1" x14ac:dyDescent="0.25">
      <c r="A179" s="102"/>
      <c r="M179" s="16"/>
    </row>
    <row r="180" spans="1:13" s="15" customFormat="1" x14ac:dyDescent="0.25">
      <c r="A180" s="102"/>
      <c r="M180" s="16"/>
    </row>
    <row r="181" spans="1:13" s="15" customFormat="1" x14ac:dyDescent="0.25">
      <c r="A181" s="102"/>
      <c r="M181" s="16"/>
    </row>
    <row r="182" spans="1:13" s="15" customFormat="1" x14ac:dyDescent="0.25">
      <c r="A182" s="102"/>
      <c r="M182" s="16"/>
    </row>
    <row r="183" spans="1:13" s="15" customFormat="1" x14ac:dyDescent="0.25">
      <c r="A183" s="102"/>
      <c r="M183" s="16"/>
    </row>
    <row r="184" spans="1:13" s="15" customFormat="1" x14ac:dyDescent="0.25">
      <c r="A184" s="102"/>
      <c r="M184" s="16"/>
    </row>
    <row r="185" spans="1:13" s="15" customFormat="1" x14ac:dyDescent="0.25">
      <c r="A185" s="102"/>
      <c r="M185" s="16"/>
    </row>
    <row r="186" spans="1:13" s="15" customFormat="1" x14ac:dyDescent="0.25">
      <c r="A186" s="102"/>
      <c r="M186" s="16"/>
    </row>
    <row r="187" spans="1:13" s="15" customFormat="1" x14ac:dyDescent="0.25">
      <c r="A187" s="102"/>
      <c r="M187" s="16"/>
    </row>
    <row r="188" spans="1:13" s="15" customFormat="1" x14ac:dyDescent="0.25">
      <c r="A188" s="102"/>
      <c r="M188" s="16"/>
    </row>
    <row r="189" spans="1:13" s="15" customFormat="1" x14ac:dyDescent="0.25">
      <c r="A189" s="102"/>
      <c r="M189" s="16"/>
    </row>
    <row r="190" spans="1:13" s="15" customFormat="1" x14ac:dyDescent="0.25">
      <c r="A190" s="102"/>
      <c r="M190" s="16"/>
    </row>
    <row r="191" spans="1:13" s="15" customFormat="1" x14ac:dyDescent="0.25">
      <c r="A191" s="102"/>
      <c r="M191" s="16"/>
    </row>
    <row r="192" spans="1:13" s="15" customFormat="1" x14ac:dyDescent="0.25">
      <c r="A192" s="102"/>
      <c r="M192" s="16"/>
    </row>
    <row r="193" spans="1:13" s="15" customFormat="1" x14ac:dyDescent="0.25">
      <c r="A193" s="102"/>
      <c r="M193" s="16"/>
    </row>
    <row r="194" spans="1:13" s="15" customFormat="1" x14ac:dyDescent="0.25">
      <c r="A194" s="102"/>
      <c r="M194" s="16"/>
    </row>
    <row r="195" spans="1:13" s="15" customFormat="1" x14ac:dyDescent="0.25">
      <c r="A195" s="102"/>
      <c r="M195" s="16"/>
    </row>
    <row r="196" spans="1:13" s="15" customFormat="1" x14ac:dyDescent="0.25">
      <c r="A196" s="102"/>
      <c r="M196" s="16"/>
    </row>
    <row r="197" spans="1:13" s="15" customFormat="1" x14ac:dyDescent="0.25">
      <c r="A197" s="102"/>
      <c r="M197" s="16"/>
    </row>
    <row r="198" spans="1:13" s="15" customFormat="1" x14ac:dyDescent="0.25">
      <c r="A198" s="102"/>
      <c r="M198" s="16"/>
    </row>
    <row r="199" spans="1:13" s="15" customFormat="1" x14ac:dyDescent="0.25">
      <c r="A199" s="102"/>
      <c r="M199" s="16"/>
    </row>
    <row r="200" spans="1:13" s="15" customFormat="1" x14ac:dyDescent="0.25">
      <c r="A200" s="102"/>
      <c r="M200" s="16"/>
    </row>
    <row r="201" spans="1:13" s="15" customFormat="1" x14ac:dyDescent="0.25">
      <c r="A201" s="102"/>
      <c r="M201" s="16"/>
    </row>
    <row r="202" spans="1:13" s="15" customFormat="1" x14ac:dyDescent="0.25">
      <c r="A202" s="102"/>
      <c r="M202" s="16"/>
    </row>
    <row r="203" spans="1:13" s="15" customFormat="1" x14ac:dyDescent="0.25">
      <c r="A203" s="102"/>
      <c r="M203" s="16"/>
    </row>
    <row r="204" spans="1:13" s="15" customFormat="1" x14ac:dyDescent="0.25">
      <c r="A204" s="102"/>
      <c r="M204" s="16"/>
    </row>
    <row r="205" spans="1:13" s="15" customFormat="1" x14ac:dyDescent="0.25">
      <c r="A205" s="102"/>
      <c r="M205" s="16"/>
    </row>
    <row r="206" spans="1:13" s="15" customFormat="1" x14ac:dyDescent="0.25">
      <c r="A206" s="102"/>
      <c r="M206" s="16"/>
    </row>
    <row r="207" spans="1:13" s="15" customFormat="1" x14ac:dyDescent="0.25">
      <c r="A207" s="102"/>
      <c r="M207" s="16"/>
    </row>
    <row r="208" spans="1:13" s="15" customFormat="1" x14ac:dyDescent="0.25">
      <c r="A208" s="102"/>
      <c r="M208" s="16"/>
    </row>
    <row r="209" spans="1:13" s="15" customFormat="1" x14ac:dyDescent="0.25">
      <c r="A209" s="102"/>
      <c r="M209" s="16"/>
    </row>
    <row r="210" spans="1:13" s="15" customFormat="1" x14ac:dyDescent="0.25">
      <c r="A210" s="102"/>
      <c r="M210" s="16"/>
    </row>
    <row r="211" spans="1:13" s="15" customFormat="1" x14ac:dyDescent="0.25">
      <c r="A211" s="102"/>
      <c r="M211" s="16"/>
    </row>
    <row r="212" spans="1:13" s="15" customFormat="1" x14ac:dyDescent="0.25">
      <c r="A212" s="102"/>
      <c r="M212" s="16"/>
    </row>
    <row r="213" spans="1:13" s="15" customFormat="1" x14ac:dyDescent="0.25">
      <c r="A213" s="102"/>
      <c r="M213" s="16"/>
    </row>
    <row r="214" spans="1:13" s="15" customFormat="1" x14ac:dyDescent="0.25">
      <c r="A214" s="102"/>
      <c r="M214" s="16"/>
    </row>
    <row r="215" spans="1:13" s="15" customFormat="1" x14ac:dyDescent="0.25">
      <c r="A215" s="102"/>
      <c r="M215" s="16"/>
    </row>
    <row r="216" spans="1:13" s="15" customFormat="1" x14ac:dyDescent="0.25">
      <c r="A216" s="102"/>
      <c r="M216" s="16"/>
    </row>
    <row r="217" spans="1:13" s="15" customFormat="1" x14ac:dyDescent="0.25">
      <c r="A217" s="102"/>
      <c r="M217" s="16"/>
    </row>
    <row r="218" spans="1:13" s="15" customFormat="1" x14ac:dyDescent="0.25">
      <c r="A218" s="102"/>
      <c r="M218" s="16"/>
    </row>
    <row r="219" spans="1:13" s="15" customFormat="1" x14ac:dyDescent="0.25">
      <c r="A219" s="102"/>
      <c r="M219" s="16"/>
    </row>
    <row r="220" spans="1:13" s="15" customFormat="1" x14ac:dyDescent="0.25">
      <c r="A220" s="102"/>
      <c r="M220" s="16"/>
    </row>
    <row r="221" spans="1:13" s="15" customFormat="1" x14ac:dyDescent="0.25">
      <c r="A221" s="102"/>
      <c r="M221" s="16"/>
    </row>
    <row r="222" spans="1:13" s="15" customFormat="1" x14ac:dyDescent="0.25">
      <c r="A222" s="102"/>
      <c r="M222" s="16"/>
    </row>
    <row r="223" spans="1:13" s="15" customFormat="1" x14ac:dyDescent="0.25">
      <c r="A223" s="102"/>
      <c r="M223" s="16"/>
    </row>
    <row r="224" spans="1:13" s="15" customFormat="1" x14ac:dyDescent="0.25">
      <c r="A224" s="102"/>
      <c r="M224" s="16"/>
    </row>
    <row r="225" spans="1:13" s="15" customFormat="1" x14ac:dyDescent="0.25">
      <c r="A225" s="102"/>
      <c r="M225" s="16"/>
    </row>
    <row r="226" spans="1:13" s="15" customFormat="1" x14ac:dyDescent="0.25">
      <c r="A226" s="102"/>
      <c r="M226" s="16"/>
    </row>
    <row r="227" spans="1:13" s="15" customFormat="1" x14ac:dyDescent="0.25">
      <c r="A227" s="102"/>
      <c r="M227" s="16"/>
    </row>
    <row r="228" spans="1:13" s="15" customFormat="1" x14ac:dyDescent="0.25">
      <c r="A228" s="102"/>
      <c r="M228" s="16"/>
    </row>
    <row r="229" spans="1:13" s="15" customFormat="1" x14ac:dyDescent="0.25">
      <c r="A229" s="102"/>
      <c r="M229" s="16"/>
    </row>
    <row r="230" spans="1:13" s="15" customFormat="1" x14ac:dyDescent="0.25">
      <c r="A230" s="102"/>
      <c r="M230" s="16"/>
    </row>
    <row r="231" spans="1:13" s="15" customFormat="1" x14ac:dyDescent="0.25">
      <c r="A231" s="102"/>
      <c r="M231" s="16"/>
    </row>
    <row r="232" spans="1:13" s="15" customFormat="1" x14ac:dyDescent="0.25">
      <c r="A232" s="102"/>
      <c r="M232" s="16"/>
    </row>
    <row r="233" spans="1:13" s="15" customFormat="1" x14ac:dyDescent="0.25">
      <c r="A233" s="102"/>
      <c r="M233" s="16"/>
    </row>
    <row r="234" spans="1:13" s="15" customFormat="1" x14ac:dyDescent="0.25">
      <c r="A234" s="102"/>
      <c r="M234" s="16"/>
    </row>
    <row r="235" spans="1:13" s="15" customFormat="1" x14ac:dyDescent="0.25">
      <c r="A235" s="102"/>
      <c r="M235" s="16"/>
    </row>
    <row r="236" spans="1:13" s="15" customFormat="1" x14ac:dyDescent="0.25">
      <c r="A236" s="102"/>
      <c r="M236" s="16"/>
    </row>
    <row r="237" spans="1:13" s="15" customFormat="1" x14ac:dyDescent="0.25">
      <c r="A237" s="102"/>
      <c r="M237" s="16"/>
    </row>
    <row r="238" spans="1:13" s="15" customFormat="1" x14ac:dyDescent="0.25">
      <c r="A238" s="102"/>
      <c r="M238" s="16"/>
    </row>
    <row r="239" spans="1:13" s="15" customFormat="1" x14ac:dyDescent="0.25">
      <c r="A239" s="102"/>
      <c r="M239" s="16"/>
    </row>
    <row r="240" spans="1:13" s="15" customFormat="1" x14ac:dyDescent="0.25">
      <c r="A240" s="102"/>
      <c r="M240" s="16"/>
    </row>
    <row r="241" spans="1:13" s="15" customFormat="1" x14ac:dyDescent="0.25">
      <c r="A241" s="102"/>
      <c r="M241" s="16"/>
    </row>
    <row r="242" spans="1:13" s="15" customFormat="1" x14ac:dyDescent="0.25">
      <c r="A242" s="102"/>
      <c r="M242" s="16"/>
    </row>
    <row r="243" spans="1:13" s="15" customFormat="1" x14ac:dyDescent="0.25">
      <c r="A243" s="102"/>
      <c r="M243" s="16"/>
    </row>
    <row r="244" spans="1:13" s="15" customFormat="1" x14ac:dyDescent="0.25">
      <c r="A244" s="102"/>
      <c r="M244" s="16"/>
    </row>
    <row r="245" spans="1:13" s="15" customFormat="1" x14ac:dyDescent="0.25">
      <c r="A245" s="102"/>
      <c r="M245" s="16"/>
    </row>
    <row r="246" spans="1:13" s="15" customFormat="1" x14ac:dyDescent="0.25">
      <c r="A246" s="102"/>
      <c r="M246" s="16"/>
    </row>
    <row r="247" spans="1:13" s="15" customFormat="1" x14ac:dyDescent="0.25">
      <c r="A247" s="102"/>
      <c r="M247" s="16"/>
    </row>
    <row r="248" spans="1:13" s="15" customFormat="1" x14ac:dyDescent="0.25">
      <c r="A248" s="102"/>
      <c r="M248" s="16"/>
    </row>
    <row r="249" spans="1:13" s="15" customFormat="1" x14ac:dyDescent="0.25">
      <c r="A249" s="102"/>
      <c r="M249" s="16"/>
    </row>
    <row r="250" spans="1:13" s="15" customFormat="1" x14ac:dyDescent="0.25">
      <c r="A250" s="102"/>
      <c r="M250" s="16"/>
    </row>
    <row r="251" spans="1:13" s="15" customFormat="1" x14ac:dyDescent="0.25">
      <c r="A251" s="102"/>
      <c r="M251" s="16"/>
    </row>
    <row r="252" spans="1:13" s="15" customFormat="1" x14ac:dyDescent="0.25">
      <c r="A252" s="102"/>
      <c r="M252" s="16"/>
    </row>
    <row r="253" spans="1:13" s="15" customFormat="1" x14ac:dyDescent="0.25">
      <c r="A253" s="102"/>
      <c r="M253" s="16"/>
    </row>
    <row r="254" spans="1:13" s="15" customFormat="1" x14ac:dyDescent="0.25">
      <c r="A254" s="102"/>
      <c r="M254" s="16"/>
    </row>
    <row r="255" spans="1:13" s="15" customFormat="1" x14ac:dyDescent="0.25">
      <c r="A255" s="102"/>
      <c r="M255" s="16"/>
    </row>
    <row r="256" spans="1:13" s="15" customFormat="1" x14ac:dyDescent="0.25">
      <c r="A256" s="102"/>
      <c r="M256" s="16"/>
    </row>
    <row r="257" spans="1:13" s="15" customFormat="1" x14ac:dyDescent="0.25">
      <c r="A257" s="102"/>
      <c r="M257" s="16"/>
    </row>
    <row r="258" spans="1:13" s="15" customFormat="1" x14ac:dyDescent="0.25">
      <c r="A258" s="102"/>
      <c r="M258" s="16"/>
    </row>
    <row r="259" spans="1:13" s="15" customFormat="1" x14ac:dyDescent="0.25">
      <c r="A259" s="102"/>
      <c r="M259" s="16"/>
    </row>
    <row r="260" spans="1:13" s="15" customFormat="1" x14ac:dyDescent="0.25">
      <c r="A260" s="102"/>
      <c r="M260" s="16"/>
    </row>
    <row r="261" spans="1:13" s="15" customFormat="1" x14ac:dyDescent="0.25">
      <c r="A261" s="102"/>
      <c r="M261" s="16"/>
    </row>
    <row r="262" spans="1:13" s="15" customFormat="1" x14ac:dyDescent="0.25">
      <c r="A262" s="102"/>
      <c r="M262" s="16"/>
    </row>
    <row r="263" spans="1:13" s="15" customFormat="1" x14ac:dyDescent="0.25">
      <c r="A263" s="102"/>
      <c r="M263" s="16"/>
    </row>
    <row r="264" spans="1:13" s="15" customFormat="1" x14ac:dyDescent="0.25">
      <c r="A264" s="102"/>
      <c r="M264" s="16"/>
    </row>
    <row r="265" spans="1:13" s="15" customFormat="1" x14ac:dyDescent="0.25">
      <c r="A265" s="102"/>
      <c r="M265" s="16"/>
    </row>
    <row r="266" spans="1:13" s="15" customFormat="1" x14ac:dyDescent="0.25">
      <c r="A266" s="102"/>
      <c r="M266" s="16"/>
    </row>
    <row r="267" spans="1:13" s="15" customFormat="1" x14ac:dyDescent="0.25">
      <c r="A267" s="102"/>
      <c r="M267" s="16"/>
    </row>
    <row r="268" spans="1:13" s="15" customFormat="1" x14ac:dyDescent="0.25">
      <c r="A268" s="102"/>
      <c r="M268" s="16"/>
    </row>
    <row r="269" spans="1:13" s="15" customFormat="1" x14ac:dyDescent="0.25">
      <c r="A269" s="102"/>
      <c r="M269" s="16"/>
    </row>
    <row r="270" spans="1:13" s="15" customFormat="1" x14ac:dyDescent="0.25">
      <c r="A270" s="102"/>
      <c r="M270" s="16"/>
    </row>
    <row r="271" spans="1:13" s="15" customFormat="1" x14ac:dyDescent="0.25">
      <c r="A271" s="102"/>
      <c r="M271" s="16"/>
    </row>
    <row r="272" spans="1:13" s="15" customFormat="1" x14ac:dyDescent="0.25">
      <c r="A272" s="102"/>
      <c r="M272" s="16"/>
    </row>
    <row r="273" spans="1:13" s="15" customFormat="1" x14ac:dyDescent="0.25">
      <c r="A273" s="102"/>
      <c r="M273" s="16"/>
    </row>
    <row r="274" spans="1:13" s="15" customFormat="1" x14ac:dyDescent="0.25">
      <c r="A274" s="102"/>
      <c r="M274" s="16"/>
    </row>
    <row r="275" spans="1:13" s="15" customFormat="1" x14ac:dyDescent="0.25">
      <c r="A275" s="102"/>
      <c r="M275" s="16"/>
    </row>
    <row r="276" spans="1:13" s="15" customFormat="1" x14ac:dyDescent="0.25">
      <c r="A276" s="102"/>
      <c r="M276" s="16"/>
    </row>
    <row r="277" spans="1:13" s="15" customFormat="1" x14ac:dyDescent="0.25">
      <c r="A277" s="102"/>
      <c r="M277" s="16"/>
    </row>
    <row r="278" spans="1:13" s="15" customFormat="1" x14ac:dyDescent="0.25">
      <c r="A278" s="102"/>
      <c r="M278" s="16"/>
    </row>
    <row r="279" spans="1:13" s="15" customFormat="1" x14ac:dyDescent="0.25">
      <c r="A279" s="102"/>
      <c r="M279" s="16"/>
    </row>
    <row r="280" spans="1:13" s="15" customFormat="1" x14ac:dyDescent="0.25">
      <c r="A280" s="102"/>
      <c r="M280" s="16"/>
    </row>
    <row r="281" spans="1:13" s="15" customFormat="1" x14ac:dyDescent="0.25">
      <c r="A281" s="102"/>
      <c r="M281" s="16"/>
    </row>
    <row r="282" spans="1:13" s="15" customFormat="1" x14ac:dyDescent="0.25">
      <c r="A282" s="102"/>
      <c r="M282" s="16"/>
    </row>
    <row r="283" spans="1:13" s="15" customFormat="1" x14ac:dyDescent="0.25">
      <c r="A283" s="102"/>
      <c r="M283" s="16"/>
    </row>
    <row r="284" spans="1:13" s="15" customFormat="1" x14ac:dyDescent="0.25">
      <c r="A284" s="102"/>
      <c r="M284" s="16"/>
    </row>
    <row r="285" spans="1:13" s="15" customFormat="1" x14ac:dyDescent="0.25">
      <c r="A285" s="102"/>
      <c r="M285" s="16"/>
    </row>
    <row r="286" spans="1:13" s="15" customFormat="1" x14ac:dyDescent="0.25">
      <c r="A286" s="102"/>
      <c r="M286" s="16"/>
    </row>
    <row r="287" spans="1:13" s="15" customFormat="1" x14ac:dyDescent="0.25">
      <c r="A287" s="102"/>
      <c r="M287" s="16"/>
    </row>
    <row r="288" spans="1:13" s="15" customFormat="1" x14ac:dyDescent="0.25">
      <c r="A288" s="102"/>
      <c r="M288" s="16"/>
    </row>
    <row r="289" spans="1:13" s="15" customFormat="1" x14ac:dyDescent="0.25">
      <c r="A289" s="102"/>
      <c r="M289" s="16"/>
    </row>
    <row r="290" spans="1:13" s="15" customFormat="1" x14ac:dyDescent="0.25">
      <c r="A290" s="102"/>
      <c r="M290" s="16"/>
    </row>
    <row r="291" spans="1:13" s="15" customFormat="1" x14ac:dyDescent="0.25">
      <c r="A291" s="102"/>
      <c r="M291" s="16"/>
    </row>
    <row r="292" spans="1:13" s="15" customFormat="1" x14ac:dyDescent="0.25">
      <c r="A292" s="102"/>
      <c r="M292" s="16"/>
    </row>
    <row r="293" spans="1:13" s="15" customFormat="1" x14ac:dyDescent="0.25">
      <c r="A293" s="102"/>
      <c r="M293" s="16"/>
    </row>
    <row r="294" spans="1:13" s="15" customFormat="1" x14ac:dyDescent="0.25">
      <c r="A294" s="102"/>
      <c r="M294" s="16"/>
    </row>
    <row r="295" spans="1:13" s="15" customFormat="1" x14ac:dyDescent="0.25">
      <c r="A295" s="102"/>
      <c r="M295" s="16"/>
    </row>
    <row r="296" spans="1:13" s="15" customFormat="1" x14ac:dyDescent="0.25">
      <c r="A296" s="102"/>
      <c r="M296" s="16"/>
    </row>
    <row r="297" spans="1:13" s="15" customFormat="1" x14ac:dyDescent="0.25">
      <c r="A297" s="102"/>
      <c r="M297" s="16"/>
    </row>
    <row r="298" spans="1:13" s="15" customFormat="1" x14ac:dyDescent="0.25">
      <c r="A298" s="102"/>
      <c r="M298" s="16"/>
    </row>
    <row r="299" spans="1:13" s="15" customFormat="1" x14ac:dyDescent="0.25">
      <c r="A299" s="102"/>
      <c r="M299" s="16"/>
    </row>
    <row r="300" spans="1:13" s="15" customFormat="1" x14ac:dyDescent="0.25">
      <c r="A300" s="102"/>
      <c r="M300" s="16"/>
    </row>
    <row r="301" spans="1:13" s="15" customFormat="1" x14ac:dyDescent="0.25">
      <c r="A301" s="102"/>
      <c r="M301" s="16"/>
    </row>
    <row r="302" spans="1:13" s="15" customFormat="1" x14ac:dyDescent="0.25">
      <c r="A302" s="102"/>
      <c r="M302" s="16"/>
    </row>
    <row r="303" spans="1:13" s="15" customFormat="1" x14ac:dyDescent="0.25">
      <c r="A303" s="102"/>
      <c r="M303" s="16"/>
    </row>
    <row r="304" spans="1:13" s="15" customFormat="1" x14ac:dyDescent="0.25">
      <c r="A304" s="102"/>
      <c r="M304" s="16"/>
    </row>
    <row r="305" spans="1:13" s="15" customFormat="1" x14ac:dyDescent="0.25">
      <c r="A305" s="102"/>
      <c r="M305" s="16"/>
    </row>
    <row r="306" spans="1:13" s="15" customFormat="1" x14ac:dyDescent="0.25">
      <c r="A306" s="102"/>
      <c r="M306" s="16"/>
    </row>
    <row r="307" spans="1:13" s="15" customFormat="1" x14ac:dyDescent="0.25">
      <c r="A307" s="102"/>
      <c r="M307" s="16"/>
    </row>
    <row r="308" spans="1:13" s="15" customFormat="1" x14ac:dyDescent="0.25">
      <c r="A308" s="102"/>
      <c r="M308" s="16"/>
    </row>
    <row r="309" spans="1:13" s="15" customFormat="1" x14ac:dyDescent="0.25">
      <c r="A309" s="102"/>
      <c r="M309" s="16"/>
    </row>
    <row r="310" spans="1:13" s="15" customFormat="1" x14ac:dyDescent="0.25">
      <c r="A310" s="102"/>
      <c r="M310" s="16"/>
    </row>
    <row r="311" spans="1:13" s="15" customFormat="1" x14ac:dyDescent="0.25">
      <c r="A311" s="102"/>
      <c r="M311" s="16"/>
    </row>
    <row r="312" spans="1:13" s="15" customFormat="1" x14ac:dyDescent="0.25">
      <c r="A312" s="102"/>
      <c r="M312" s="16"/>
    </row>
    <row r="313" spans="1:13" s="15" customFormat="1" x14ac:dyDescent="0.25">
      <c r="A313" s="102"/>
      <c r="M313" s="16"/>
    </row>
    <row r="314" spans="1:13" s="15" customFormat="1" x14ac:dyDescent="0.25">
      <c r="A314" s="102"/>
      <c r="M314" s="16"/>
    </row>
    <row r="315" spans="1:13" s="15" customFormat="1" x14ac:dyDescent="0.25">
      <c r="A315" s="102"/>
      <c r="M315" s="16"/>
    </row>
    <row r="316" spans="1:13" s="15" customFormat="1" x14ac:dyDescent="0.25">
      <c r="A316" s="102"/>
      <c r="M316" s="16"/>
    </row>
    <row r="317" spans="1:13" s="15" customFormat="1" x14ac:dyDescent="0.25">
      <c r="A317" s="102"/>
      <c r="M317" s="16"/>
    </row>
    <row r="318" spans="1:13" s="15" customFormat="1" x14ac:dyDescent="0.25">
      <c r="A318" s="102"/>
      <c r="M318" s="16"/>
    </row>
    <row r="319" spans="1:13" s="15" customFormat="1" x14ac:dyDescent="0.25">
      <c r="A319" s="102"/>
      <c r="M319" s="16"/>
    </row>
    <row r="320" spans="1:13" s="15" customFormat="1" x14ac:dyDescent="0.25">
      <c r="A320" s="102"/>
      <c r="M320" s="16"/>
    </row>
    <row r="321" spans="1:13" s="15" customFormat="1" x14ac:dyDescent="0.25">
      <c r="A321" s="102"/>
      <c r="M321" s="16"/>
    </row>
    <row r="322" spans="1:13" s="15" customFormat="1" x14ac:dyDescent="0.25">
      <c r="A322" s="102"/>
      <c r="M322" s="16"/>
    </row>
    <row r="323" spans="1:13" s="15" customFormat="1" x14ac:dyDescent="0.25">
      <c r="A323" s="102"/>
      <c r="M323" s="16"/>
    </row>
    <row r="324" spans="1:13" s="15" customFormat="1" x14ac:dyDescent="0.25">
      <c r="A324" s="102"/>
      <c r="M324" s="16"/>
    </row>
    <row r="325" spans="1:13" s="15" customFormat="1" x14ac:dyDescent="0.25">
      <c r="A325" s="102"/>
      <c r="M325" s="16"/>
    </row>
    <row r="326" spans="1:13" s="15" customFormat="1" x14ac:dyDescent="0.25">
      <c r="A326" s="102"/>
      <c r="M326" s="16"/>
    </row>
    <row r="327" spans="1:13" s="15" customFormat="1" x14ac:dyDescent="0.25">
      <c r="A327" s="102"/>
      <c r="M327" s="16"/>
    </row>
    <row r="328" spans="1:13" s="15" customFormat="1" x14ac:dyDescent="0.25">
      <c r="A328" s="102"/>
      <c r="M328" s="16"/>
    </row>
    <row r="329" spans="1:13" s="15" customFormat="1" x14ac:dyDescent="0.25">
      <c r="A329" s="102"/>
      <c r="M329" s="16"/>
    </row>
    <row r="330" spans="1:13" s="15" customFormat="1" x14ac:dyDescent="0.25">
      <c r="A330" s="102"/>
      <c r="M330" s="16"/>
    </row>
    <row r="331" spans="1:13" s="15" customFormat="1" x14ac:dyDescent="0.25">
      <c r="A331" s="102"/>
      <c r="M331" s="16"/>
    </row>
    <row r="332" spans="1:13" s="15" customFormat="1" x14ac:dyDescent="0.25">
      <c r="A332" s="102"/>
      <c r="M332" s="16"/>
    </row>
    <row r="333" spans="1:13" s="15" customFormat="1" x14ac:dyDescent="0.25">
      <c r="A333" s="102"/>
      <c r="M333" s="16"/>
    </row>
    <row r="334" spans="1:13" s="15" customFormat="1" x14ac:dyDescent="0.25">
      <c r="A334" s="102"/>
      <c r="M334" s="16"/>
    </row>
    <row r="335" spans="1:13" s="15" customFormat="1" x14ac:dyDescent="0.25">
      <c r="A335" s="102"/>
      <c r="M335" s="16"/>
    </row>
    <row r="336" spans="1:13" s="15" customFormat="1" x14ac:dyDescent="0.25">
      <c r="A336" s="102"/>
      <c r="M336" s="16"/>
    </row>
    <row r="337" spans="1:13" s="15" customFormat="1" x14ac:dyDescent="0.25">
      <c r="A337" s="102"/>
      <c r="M337" s="16"/>
    </row>
    <row r="338" spans="1:13" s="15" customFormat="1" x14ac:dyDescent="0.25">
      <c r="A338" s="102"/>
      <c r="M338" s="16"/>
    </row>
    <row r="339" spans="1:13" s="15" customFormat="1" x14ac:dyDescent="0.25">
      <c r="A339" s="102"/>
      <c r="M339" s="16"/>
    </row>
    <row r="340" spans="1:13" s="15" customFormat="1" x14ac:dyDescent="0.25">
      <c r="A340" s="102"/>
      <c r="M340" s="16"/>
    </row>
    <row r="341" spans="1:13" s="15" customFormat="1" x14ac:dyDescent="0.25">
      <c r="A341" s="102"/>
      <c r="M341" s="16"/>
    </row>
    <row r="342" spans="1:13" s="15" customFormat="1" x14ac:dyDescent="0.25">
      <c r="A342" s="102"/>
      <c r="M342" s="16"/>
    </row>
    <row r="343" spans="1:13" s="15" customFormat="1" x14ac:dyDescent="0.25">
      <c r="A343" s="102"/>
      <c r="M343" s="16"/>
    </row>
    <row r="344" spans="1:13" s="15" customFormat="1" x14ac:dyDescent="0.25">
      <c r="A344" s="102"/>
      <c r="M344" s="16"/>
    </row>
    <row r="345" spans="1:13" s="15" customFormat="1" x14ac:dyDescent="0.25">
      <c r="A345" s="102"/>
      <c r="M345" s="16"/>
    </row>
    <row r="346" spans="1:13" s="15" customFormat="1" x14ac:dyDescent="0.25">
      <c r="A346" s="102"/>
      <c r="M346" s="16"/>
    </row>
    <row r="347" spans="1:13" s="15" customFormat="1" x14ac:dyDescent="0.25">
      <c r="A347" s="102"/>
      <c r="M347" s="16"/>
    </row>
    <row r="348" spans="1:13" s="15" customFormat="1" x14ac:dyDescent="0.25">
      <c r="A348" s="102"/>
      <c r="M348" s="16"/>
    </row>
    <row r="349" spans="1:13" s="15" customFormat="1" x14ac:dyDescent="0.25">
      <c r="A349" s="102"/>
      <c r="M349" s="16"/>
    </row>
    <row r="350" spans="1:13" s="15" customFormat="1" x14ac:dyDescent="0.25">
      <c r="A350" s="102"/>
      <c r="M350" s="16"/>
    </row>
    <row r="351" spans="1:13" s="15" customFormat="1" x14ac:dyDescent="0.25">
      <c r="A351" s="102"/>
      <c r="M351" s="16"/>
    </row>
    <row r="352" spans="1:13" s="15" customFormat="1" x14ac:dyDescent="0.25">
      <c r="A352" s="102"/>
      <c r="M352" s="16"/>
    </row>
    <row r="353" spans="1:13" s="15" customFormat="1" x14ac:dyDescent="0.25">
      <c r="A353" s="102"/>
      <c r="M353" s="16"/>
    </row>
    <row r="354" spans="1:13" s="15" customFormat="1" x14ac:dyDescent="0.25">
      <c r="A354" s="102"/>
      <c r="M354" s="16"/>
    </row>
    <row r="355" spans="1:13" s="15" customFormat="1" x14ac:dyDescent="0.25">
      <c r="A355" s="102"/>
      <c r="M355" s="16"/>
    </row>
    <row r="356" spans="1:13" s="15" customFormat="1" x14ac:dyDescent="0.25">
      <c r="A356" s="102"/>
      <c r="M356" s="16"/>
    </row>
    <row r="357" spans="1:13" s="15" customFormat="1" x14ac:dyDescent="0.25">
      <c r="A357" s="102"/>
      <c r="M357" s="16"/>
    </row>
    <row r="358" spans="1:13" s="15" customFormat="1" x14ac:dyDescent="0.25">
      <c r="A358" s="102"/>
      <c r="M358" s="16"/>
    </row>
    <row r="359" spans="1:13" s="15" customFormat="1" x14ac:dyDescent="0.25">
      <c r="A359" s="102"/>
      <c r="M359" s="16"/>
    </row>
    <row r="360" spans="1:13" s="15" customFormat="1" x14ac:dyDescent="0.25">
      <c r="A360" s="102"/>
      <c r="M360" s="16"/>
    </row>
    <row r="361" spans="1:13" s="15" customFormat="1" x14ac:dyDescent="0.25">
      <c r="A361" s="102"/>
      <c r="M361" s="16"/>
    </row>
    <row r="362" spans="1:13" s="15" customFormat="1" x14ac:dyDescent="0.25">
      <c r="A362" s="102"/>
      <c r="M362" s="16"/>
    </row>
    <row r="363" spans="1:13" s="15" customFormat="1" x14ac:dyDescent="0.25">
      <c r="A363" s="102"/>
      <c r="M363" s="16"/>
    </row>
    <row r="364" spans="1:13" s="15" customFormat="1" x14ac:dyDescent="0.25">
      <c r="A364" s="102"/>
      <c r="M364" s="16"/>
    </row>
    <row r="365" spans="1:13" s="15" customFormat="1" x14ac:dyDescent="0.25">
      <c r="A365" s="102"/>
      <c r="M365" s="16"/>
    </row>
    <row r="366" spans="1:13" s="15" customFormat="1" x14ac:dyDescent="0.25">
      <c r="A366" s="102"/>
      <c r="M366" s="16"/>
    </row>
    <row r="367" spans="1:13" s="15" customFormat="1" x14ac:dyDescent="0.25">
      <c r="A367" s="102"/>
      <c r="M367" s="16"/>
    </row>
    <row r="368" spans="1:13" s="15" customFormat="1" x14ac:dyDescent="0.25">
      <c r="A368" s="102"/>
      <c r="M368" s="16"/>
    </row>
    <row r="369" spans="1:13" s="15" customFormat="1" x14ac:dyDescent="0.25">
      <c r="A369" s="102"/>
      <c r="M369" s="16"/>
    </row>
  </sheetData>
  <sheetProtection algorithmName="SHA-512" hashValue="k9ezMw5n3MP689Zvj5aj5r53Bcfy8GbwGjDKh5h0CPPV/CxVNuIUaZlTRoMAGICN+pvUirtfkLem3hWwLWvPSg==" saltValue="rPV1wkf4azKqLV0ON4Oi/w==" spinCount="100000" sheet="1" objects="1" scenarios="1" selectLockedCells="1"/>
  <mergeCells count="4">
    <mergeCell ref="F9:G9"/>
    <mergeCell ref="H7:M7"/>
    <mergeCell ref="H11:M11"/>
    <mergeCell ref="H15:M15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79" r:id="rId4" name="CommandButton1">
          <controlPr defaultSize="0" autoFill="0" autoLine="0" r:id="rId5">
            <anchor moveWithCells="1">
              <from>
                <xdr:col>15</xdr:col>
                <xdr:colOff>352425</xdr:colOff>
                <xdr:row>6</xdr:row>
                <xdr:rowOff>228600</xdr:rowOff>
              </from>
              <to>
                <xdr:col>16</xdr:col>
                <xdr:colOff>981075</xdr:colOff>
                <xdr:row>9</xdr:row>
                <xdr:rowOff>0</xdr:rowOff>
              </to>
            </anchor>
          </controlPr>
        </control>
      </mc:Choice>
      <mc:Fallback>
        <control shapeId="24579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50"/>
  <dimension ref="A1:XDB59"/>
  <sheetViews>
    <sheetView showGridLines="0" showRowColHeaders="0" zoomScaleNormal="100" workbookViewId="0"/>
  </sheetViews>
  <sheetFormatPr defaultRowHeight="15" x14ac:dyDescent="0.25"/>
  <cols>
    <col min="1" max="1" width="6.85546875" style="22" customWidth="1"/>
    <col min="2" max="2" width="6.5703125" style="61" customWidth="1"/>
    <col min="3" max="3" width="15.5703125" customWidth="1"/>
    <col min="4" max="4" width="7" customWidth="1"/>
    <col min="5" max="5" width="12.42578125" style="6" customWidth="1"/>
    <col min="6" max="6" width="14.140625" style="1" customWidth="1"/>
    <col min="7" max="7" width="11.7109375" style="1" customWidth="1"/>
    <col min="8" max="8" width="9.28515625" style="1" customWidth="1"/>
    <col min="9" max="9" width="11.42578125" style="12" customWidth="1"/>
    <col min="10" max="10" width="13.5703125" style="1" customWidth="1"/>
    <col min="11" max="11" width="10.5703125" style="1" customWidth="1"/>
    <col min="12" max="12" width="11.85546875" style="7" customWidth="1"/>
    <col min="13" max="13" width="11.42578125" style="7" customWidth="1"/>
    <col min="14" max="14" width="9.7109375" style="7" customWidth="1"/>
    <col min="15" max="15" width="9" style="60" customWidth="1"/>
    <col min="16" max="16" width="11.7109375" style="60" customWidth="1"/>
    <col min="17" max="17" width="3.85546875" style="22" customWidth="1"/>
    <col min="18" max="18" width="6.85546875" style="60" customWidth="1"/>
    <col min="19" max="19" width="1.140625" style="736" customWidth="1"/>
    <col min="20" max="20" width="15.7109375" style="1238" hidden="1" customWidth="1"/>
    <col min="21" max="21" width="9.7109375" style="1238" hidden="1" customWidth="1"/>
    <col min="22" max="22" width="9.140625" style="1238" hidden="1" customWidth="1"/>
    <col min="23" max="23" width="8.42578125" style="1238" hidden="1" customWidth="1"/>
    <col min="24" max="24" width="3.140625" style="1239" hidden="1" customWidth="1"/>
    <col min="25" max="25" width="3.85546875" style="1239" hidden="1" customWidth="1"/>
    <col min="26" max="26" width="3.28515625" style="1239" hidden="1" customWidth="1"/>
    <col min="27" max="27" width="19.28515625" style="1240" hidden="1" customWidth="1"/>
    <col min="28" max="28" width="4" style="1240" hidden="1" customWidth="1"/>
    <col min="29" max="29" width="5.5703125" style="1241" hidden="1" customWidth="1"/>
    <col min="30" max="30" width="6.140625" style="1240" hidden="1" customWidth="1"/>
    <col min="31" max="31" width="9.28515625" style="1240" hidden="1" customWidth="1"/>
    <col min="32" max="32" width="8.7109375" style="1240" hidden="1" customWidth="1"/>
    <col min="33" max="33" width="6.28515625" style="1240" hidden="1" customWidth="1"/>
    <col min="34" max="34" width="14.28515625" style="1240" hidden="1" customWidth="1"/>
    <col min="35" max="35" width="6.7109375" style="1240" hidden="1" customWidth="1"/>
    <col min="36" max="36" width="14.140625" style="1240" hidden="1" customWidth="1"/>
    <col min="37" max="37" width="1.42578125" style="1240" hidden="1" customWidth="1"/>
    <col min="38" max="38" width="7" style="1238" hidden="1" customWidth="1"/>
    <col min="39" max="39" width="8.42578125" style="1242" hidden="1" customWidth="1"/>
    <col min="40" max="40" width="11.7109375" style="1243" hidden="1" customWidth="1"/>
    <col min="41" max="41" width="10.5703125" style="1238" hidden="1" customWidth="1"/>
    <col min="42" max="42" width="11.42578125" style="1238" hidden="1" customWidth="1"/>
    <col min="43" max="43" width="9.140625" style="1238" hidden="1" customWidth="1"/>
    <col min="44" max="44" width="19.85546875" style="1244" customWidth="1"/>
    <col min="45" max="52" width="9.140625" style="737" customWidth="1"/>
    <col min="53" max="53" width="9.140625" style="741"/>
  </cols>
  <sheetData>
    <row r="1" spans="1:52" s="1004" customFormat="1" ht="12.75" customHeight="1" thickBot="1" x14ac:dyDescent="0.25">
      <c r="A1" s="1002">
        <v>0</v>
      </c>
      <c r="B1" s="1003">
        <f>IF(AND(AN1 &gt; 0, AN4 &gt; 0),AN1,-1)</f>
        <v>-1</v>
      </c>
      <c r="D1" s="1004">
        <f>_xlfn.NUMBERVALUE(B1)</f>
        <v>-1</v>
      </c>
      <c r="E1" s="1005"/>
      <c r="F1" s="1006"/>
      <c r="G1" s="1006"/>
      <c r="H1" s="1007"/>
      <c r="I1" s="1007"/>
      <c r="J1" s="1006"/>
      <c r="K1" s="1007"/>
      <c r="L1" s="1007"/>
      <c r="M1" s="1008"/>
      <c r="N1" s="1008"/>
      <c r="S1" s="1009"/>
      <c r="T1" s="1186"/>
      <c r="U1" s="1187">
        <f>U2-1</f>
        <v>16</v>
      </c>
      <c r="V1" s="1188">
        <f xml:space="preserve"> VLOOKUP(U1-1,__Периоды,2,0)</f>
        <v>45200</v>
      </c>
      <c r="W1" s="1186"/>
      <c r="X1" s="1187" t="str">
        <f>CONCATENATE("X",AI2)</f>
        <v>X9</v>
      </c>
      <c r="Y1" s="1187" t="str">
        <f>CONCATENATE("Y",AI2)</f>
        <v>Y9</v>
      </c>
      <c r="Z1" s="1187"/>
      <c r="AA1" s="1186"/>
      <c r="AB1" s="1186"/>
      <c r="AC1" s="1189"/>
      <c r="AD1" s="1186"/>
      <c r="AE1" s="1186" t="s">
        <v>224</v>
      </c>
      <c r="AF1" s="1186"/>
      <c r="AG1" s="1186"/>
      <c r="AH1" s="1186"/>
      <c r="AI1" s="1186" t="s">
        <v>182</v>
      </c>
      <c r="AJ1" s="1186"/>
      <c r="AK1" s="1186"/>
      <c r="AL1" s="1186" t="s">
        <v>214</v>
      </c>
      <c r="AM1" s="1190"/>
      <c r="AN1" s="1191"/>
      <c r="AO1" s="1189"/>
      <c r="AP1" s="1192">
        <f xml:space="preserve"> VLOOKUP(AP3,__Периоды,2,0)</f>
        <v>45566</v>
      </c>
      <c r="AQ1" s="1186"/>
      <c r="AR1" s="1193"/>
      <c r="AS1" s="1161"/>
      <c r="AT1" s="1161"/>
      <c r="AU1" s="1161"/>
      <c r="AV1" s="1161"/>
      <c r="AW1" s="1161"/>
      <c r="AX1" s="1161"/>
      <c r="AY1" s="1161"/>
      <c r="AZ1" s="1162"/>
    </row>
    <row r="2" spans="1:52" s="358" customFormat="1" ht="12.75" x14ac:dyDescent="0.2">
      <c r="A2" s="792"/>
      <c r="B2" s="758"/>
      <c r="C2" s="359"/>
      <c r="D2" s="359"/>
      <c r="E2" s="360"/>
      <c r="F2" s="361"/>
      <c r="G2" s="362"/>
      <c r="H2" s="362"/>
      <c r="I2" s="362"/>
      <c r="J2" s="362"/>
      <c r="K2" s="362"/>
      <c r="L2" s="363"/>
      <c r="M2" s="363"/>
      <c r="N2" s="363"/>
      <c r="O2" s="364"/>
      <c r="P2" s="364"/>
      <c r="Q2" s="365"/>
      <c r="R2" s="366"/>
      <c r="S2" s="795"/>
      <c r="T2" s="1186" t="s">
        <v>181</v>
      </c>
      <c r="U2" s="1191">
        <f>COUNT(E10:E28)</f>
        <v>17</v>
      </c>
      <c r="V2" s="1186"/>
      <c r="W2" s="1187"/>
      <c r="X2" s="1187"/>
      <c r="Y2" s="1187"/>
      <c r="Z2" s="1187"/>
      <c r="AA2" s="1194"/>
      <c r="AB2" s="1186" t="str">
        <f xml:space="preserve"> CONCATENATE("N",AI2)</f>
        <v>N9</v>
      </c>
      <c r="AC2" s="1195" t="str">
        <f>IF(AC6 &gt; 0,AC6,"")</f>
        <v/>
      </c>
      <c r="AD2" s="1187">
        <f>$AN$3</f>
        <v>0</v>
      </c>
      <c r="AE2" s="1188">
        <f>DATE(AN19,AN18,AN17)</f>
        <v>45200</v>
      </c>
      <c r="AF2" s="1196">
        <f>(AN20+AN21) / 100</f>
        <v>0.77410000000000001</v>
      </c>
      <c r="AG2" s="1195">
        <f>IF(AG6 &gt; 0,AG6,"")</f>
        <v>0.04</v>
      </c>
      <c r="AH2" s="1197" t="s">
        <v>184</v>
      </c>
      <c r="AI2" s="1187">
        <f>ROW($E$10) +$AN$3 - 1</f>
        <v>9</v>
      </c>
      <c r="AJ2" s="1186" t="str">
        <f xml:space="preserve"> CONCATENATE("F",AI2,":H",AI2)</f>
        <v>F9:H9</v>
      </c>
      <c r="AK2" s="1186"/>
      <c r="AL2" s="1186" t="s">
        <v>96</v>
      </c>
      <c r="AM2" s="1190" t="s">
        <v>215</v>
      </c>
      <c r="AN2" s="1198" t="s">
        <v>217</v>
      </c>
      <c r="AO2" s="1189" t="s">
        <v>218</v>
      </c>
      <c r="AP2" s="1189" t="s">
        <v>284</v>
      </c>
      <c r="AQ2" s="1186"/>
      <c r="AR2" s="1199"/>
      <c r="AS2" s="742"/>
      <c r="AT2" s="742"/>
      <c r="AU2" s="742"/>
      <c r="AV2" s="742"/>
      <c r="AW2" s="742"/>
      <c r="AX2" s="742"/>
      <c r="AY2" s="742"/>
      <c r="AZ2" s="738"/>
    </row>
    <row r="3" spans="1:52" s="358" customFormat="1" ht="12.75" x14ac:dyDescent="0.2">
      <c r="A3" s="793">
        <f ca="1">Параметры!B7</f>
        <v>1</v>
      </c>
      <c r="B3" s="653"/>
      <c r="C3" s="367"/>
      <c r="D3" s="367"/>
      <c r="E3" s="368"/>
      <c r="F3" s="369"/>
      <c r="G3" s="370"/>
      <c r="H3" s="370"/>
      <c r="I3" s="370"/>
      <c r="J3" s="370"/>
      <c r="K3" s="370"/>
      <c r="L3" s="371"/>
      <c r="M3" s="371"/>
      <c r="N3" s="371"/>
      <c r="O3" s="372"/>
      <c r="P3" s="372"/>
      <c r="Q3" s="373"/>
      <c r="R3" s="374"/>
      <c r="S3" s="765"/>
      <c r="T3" s="1186"/>
      <c r="U3" s="1191">
        <f ca="1">Параметры!$B$7</f>
        <v>1</v>
      </c>
      <c r="V3" s="1186"/>
      <c r="W3" s="1186"/>
      <c r="X3" s="1187"/>
      <c r="Y3" s="1187"/>
      <c r="Z3" s="1200"/>
      <c r="AA3" s="1201"/>
      <c r="AB3" s="1186" t="str">
        <f xml:space="preserve"> CONCATENATE("N",AI3-1)</f>
        <v>N26</v>
      </c>
      <c r="AC3" s="1195" t="str">
        <f>IF(AC7 &gt; 0,AC7,"")</f>
        <v/>
      </c>
      <c r="AD3" s="1187">
        <f>$AO$3</f>
        <v>18</v>
      </c>
      <c r="AE3" s="1188">
        <f>DATE(AO19,AO18,AO17)</f>
        <v>45658</v>
      </c>
      <c r="AF3" s="1196">
        <f>(AO20+AO21) / 100</f>
        <v>0.8</v>
      </c>
      <c r="AG3" s="1195" t="str">
        <f>IF(AG7 &gt; 0,AG7,"")</f>
        <v/>
      </c>
      <c r="AH3" s="1197" t="s">
        <v>183</v>
      </c>
      <c r="AI3" s="1187">
        <f>ROW($E$10) +$AO$3 -1</f>
        <v>27</v>
      </c>
      <c r="AJ3" s="1186" t="str">
        <f xml:space="preserve"> CONCATENATE("F",AI3,":H",AI3)</f>
        <v>F27:H27</v>
      </c>
      <c r="AK3" s="1186"/>
      <c r="AL3" s="1191">
        <f>Параметры!B4</f>
        <v>17</v>
      </c>
      <c r="AM3" s="1202">
        <f ca="1">Параметры!B8</f>
        <v>13</v>
      </c>
      <c r="AN3" s="1191">
        <f>VALUE(AN1)</f>
        <v>0</v>
      </c>
      <c r="AO3" s="1200">
        <f>AL3+1</f>
        <v>18</v>
      </c>
      <c r="AP3" s="1200">
        <f>AL3</f>
        <v>17</v>
      </c>
      <c r="AQ3" s="1186"/>
      <c r="AR3" s="1199"/>
      <c r="AS3" s="742"/>
      <c r="AT3" s="742"/>
      <c r="AU3" s="742"/>
      <c r="AV3" s="742"/>
      <c r="AW3" s="742"/>
      <c r="AX3" s="742"/>
      <c r="AY3" s="742"/>
      <c r="AZ3" s="738"/>
    </row>
    <row r="4" spans="1:52" s="358" customFormat="1" ht="12.75" x14ac:dyDescent="0.2">
      <c r="A4" s="793">
        <f ca="1">Параметры!B8</f>
        <v>13</v>
      </c>
      <c r="B4" s="653"/>
      <c r="C4" s="367"/>
      <c r="D4" s="367"/>
      <c r="E4" s="368"/>
      <c r="F4" s="369"/>
      <c r="G4" s="370"/>
      <c r="H4" s="370"/>
      <c r="I4" s="370"/>
      <c r="J4" s="370"/>
      <c r="K4" s="370"/>
      <c r="L4" s="371"/>
      <c r="M4" s="371"/>
      <c r="N4" s="371"/>
      <c r="O4" s="372"/>
      <c r="P4" s="372"/>
      <c r="Q4" s="373"/>
      <c r="R4" s="374"/>
      <c r="S4" s="765"/>
      <c r="T4" s="1186"/>
      <c r="U4" s="1186"/>
      <c r="V4" s="1186"/>
      <c r="W4" s="1186"/>
      <c r="X4" s="1187"/>
      <c r="Y4" s="1187"/>
      <c r="Z4" s="1187"/>
      <c r="AA4" s="1194" t="s">
        <v>225</v>
      </c>
      <c r="AB4" s="1194"/>
      <c r="AC4" s="1186"/>
      <c r="AD4" s="1186"/>
      <c r="AE4" s="1186" t="s">
        <v>222</v>
      </c>
      <c r="AF4" s="1186"/>
      <c r="AG4" s="1186"/>
      <c r="AH4" s="1186"/>
      <c r="AI4" s="1186"/>
      <c r="AJ4" s="1186"/>
      <c r="AK4" s="1186"/>
      <c r="AL4" s="1186" t="s">
        <v>216</v>
      </c>
      <c r="AM4" s="1202">
        <f ca="1">IF(AM3&lt;Параметры!$B$4,AM3,"")</f>
        <v>13</v>
      </c>
      <c r="AN4" s="1191">
        <v>0</v>
      </c>
      <c r="AO4" s="1189"/>
      <c r="AP4" s="1189">
        <f ca="1">IF(AP1&gt;AP5,1,0)</f>
        <v>0</v>
      </c>
      <c r="AQ4" s="1186"/>
      <c r="AR4" s="1199"/>
      <c r="AS4" s="742"/>
      <c r="AT4" s="742"/>
      <c r="AU4" s="742"/>
      <c r="AV4" s="742"/>
      <c r="AW4" s="742"/>
      <c r="AX4" s="742"/>
      <c r="AY4" s="742"/>
      <c r="AZ4" s="738"/>
    </row>
    <row r="5" spans="1:52" s="358" customFormat="1" ht="12.75" x14ac:dyDescent="0.2">
      <c r="A5" s="793">
        <f ca="1">Параметры!B9</f>
        <v>14</v>
      </c>
      <c r="B5" s="653"/>
      <c r="C5" s="367"/>
      <c r="D5" s="367"/>
      <c r="E5" s="368"/>
      <c r="F5" s="369"/>
      <c r="G5" s="370"/>
      <c r="H5" s="370"/>
      <c r="I5" s="370"/>
      <c r="J5" s="370"/>
      <c r="K5" s="370"/>
      <c r="L5" s="371"/>
      <c r="M5" s="371"/>
      <c r="N5" s="371"/>
      <c r="O5" s="372"/>
      <c r="P5" s="372"/>
      <c r="Q5" s="373"/>
      <c r="R5" s="374"/>
      <c r="S5" s="765"/>
      <c r="T5" s="1187"/>
      <c r="U5" s="1186"/>
      <c r="V5" s="1196">
        <f ca="1" xml:space="preserve"> VLOOKUP(AM3+1,__Периоды,10,0)</f>
        <v>0</v>
      </c>
      <c r="W5" s="1186"/>
      <c r="X5" s="1187"/>
      <c r="Y5" s="1187"/>
      <c r="Z5" s="1200"/>
      <c r="AA5" s="1194" t="s">
        <v>226</v>
      </c>
      <c r="AB5" s="1194"/>
      <c r="AC5" s="1186"/>
      <c r="AD5" s="1186"/>
      <c r="AE5" s="1186"/>
      <c r="AF5" s="1186"/>
      <c r="AG5" s="1186"/>
      <c r="AH5" s="1186"/>
      <c r="AI5" s="1186"/>
      <c r="AJ5" s="1186"/>
      <c r="AK5" s="1186"/>
      <c r="AL5" s="1186"/>
      <c r="AM5" s="1202">
        <f ca="1">IF(AM4&lt;Параметры!$B$4,AM4+1,"")</f>
        <v>14</v>
      </c>
      <c r="AN5" s="1188" t="e">
        <f>VLOOKUP(AN3-1,__Периоды,2,0)</f>
        <v>#N/A</v>
      </c>
      <c r="AO5" s="1192">
        <f>AP1+31</f>
        <v>45597</v>
      </c>
      <c r="AP5" s="1192">
        <f ca="1" xml:space="preserve"> DATE( YEAR(TODAY())+2,12,31)</f>
        <v>45657</v>
      </c>
      <c r="AQ5" s="1186"/>
      <c r="AR5" s="1199"/>
      <c r="AS5" s="742"/>
      <c r="AT5" s="742"/>
      <c r="AU5" s="742"/>
      <c r="AV5" s="742"/>
      <c r="AW5" s="742"/>
      <c r="AX5" s="742"/>
      <c r="AY5" s="742"/>
      <c r="AZ5" s="738"/>
    </row>
    <row r="6" spans="1:52" s="358" customFormat="1" ht="12.75" x14ac:dyDescent="0.2">
      <c r="A6" s="793"/>
      <c r="B6" s="653"/>
      <c r="C6" s="367"/>
      <c r="D6" s="367"/>
      <c r="E6" s="368"/>
      <c r="F6" s="369"/>
      <c r="G6" s="370"/>
      <c r="H6" s="370"/>
      <c r="I6" s="370"/>
      <c r="J6" s="370"/>
      <c r="K6" s="370"/>
      <c r="L6" s="371"/>
      <c r="M6" s="371"/>
      <c r="N6" s="371"/>
      <c r="O6" s="372"/>
      <c r="P6" s="372"/>
      <c r="Q6" s="373"/>
      <c r="R6" s="374"/>
      <c r="S6" s="765"/>
      <c r="T6" s="1187"/>
      <c r="U6" s="1186"/>
      <c r="V6" s="1186"/>
      <c r="W6" s="1186"/>
      <c r="X6" s="1187"/>
      <c r="Y6" s="1187"/>
      <c r="Z6" s="1187"/>
      <c r="AA6" s="1194" t="s">
        <v>227</v>
      </c>
      <c r="AB6" s="1194"/>
      <c r="AC6" s="1195">
        <f xml:space="preserve"> (AN24+AN25) / 100</f>
        <v>0</v>
      </c>
      <c r="AD6" s="1203"/>
      <c r="AE6" s="1203"/>
      <c r="AF6" s="1203"/>
      <c r="AG6" s="1195">
        <f xml:space="preserve"> (AN22+AN23) / 100</f>
        <v>0.04</v>
      </c>
      <c r="AH6" s="1186"/>
      <c r="AI6" s="1186"/>
      <c r="AJ6" s="1186"/>
      <c r="AK6" s="1186"/>
      <c r="AL6" s="1186"/>
      <c r="AM6" s="1202">
        <f ca="1">IF(AM5&lt;Параметры!$B$4,AM5+1,"")</f>
        <v>15</v>
      </c>
      <c r="AN6" s="1191" t="e">
        <f>TEXT(AN7,"ДД.ММ.ГГГГ")</f>
        <v>#N/A</v>
      </c>
      <c r="AO6" s="1200" t="str">
        <f>TEXT(AO5,"ДД.ММ.ГГГГ")</f>
        <v>01.11.2024</v>
      </c>
      <c r="AP6" s="1189"/>
      <c r="AQ6" s="1186"/>
      <c r="AR6" s="1199"/>
      <c r="AS6" s="742"/>
      <c r="AT6" s="742"/>
      <c r="AU6" s="742"/>
      <c r="AV6" s="742"/>
      <c r="AW6" s="742"/>
      <c r="AX6" s="742"/>
      <c r="AY6" s="742"/>
      <c r="AZ6" s="738"/>
    </row>
    <row r="7" spans="1:52" s="355" customFormat="1" ht="18.75" customHeight="1" x14ac:dyDescent="0.2">
      <c r="A7" s="792"/>
      <c r="B7" s="697"/>
      <c r="C7" s="448">
        <f ca="1">IF(Параметры!E19=1,G8, 'Исходные данные'!J12)</f>
        <v>40909</v>
      </c>
      <c r="D7" s="375"/>
      <c r="E7" s="376"/>
      <c r="F7" s="376"/>
      <c r="G7" s="376"/>
      <c r="H7" s="376"/>
      <c r="I7" s="376"/>
      <c r="J7" s="376"/>
      <c r="K7" s="376"/>
      <c r="L7" s="376"/>
      <c r="M7" s="377"/>
      <c r="N7" s="377"/>
      <c r="O7" s="375"/>
      <c r="P7" s="375"/>
      <c r="Q7" s="378"/>
      <c r="R7" s="379"/>
      <c r="S7" s="796"/>
      <c r="T7" s="1187"/>
      <c r="U7" s="1198"/>
      <c r="V7" s="1198"/>
      <c r="W7" s="1198"/>
      <c r="X7" s="1191"/>
      <c r="Y7" s="1191"/>
      <c r="Z7" s="1200"/>
      <c r="AA7" s="1194"/>
      <c r="AB7" s="1194"/>
      <c r="AC7" s="1195">
        <f xml:space="preserve"> (AO24+AO25) / 100</f>
        <v>0</v>
      </c>
      <c r="AD7" s="1203"/>
      <c r="AE7" s="1203"/>
      <c r="AF7" s="1203"/>
      <c r="AG7" s="1195">
        <f xml:space="preserve"> (AO22+AO23) / 100</f>
        <v>0</v>
      </c>
      <c r="AH7" s="1186"/>
      <c r="AI7" s="1186"/>
      <c r="AJ7" s="1186"/>
      <c r="AK7" s="1186"/>
      <c r="AL7" s="1198"/>
      <c r="AM7" s="1202">
        <f ca="1">IF(AM6&lt;Параметры!$B$4,AM6+1,"")</f>
        <v>16</v>
      </c>
      <c r="AN7" s="1204" t="e">
        <f>VLOOKUP(AN3,__Периоды,2,0)</f>
        <v>#N/A</v>
      </c>
      <c r="AO7" s="1192">
        <f>VLOOKUP(AL3,__Периоды,2,0)</f>
        <v>45566</v>
      </c>
      <c r="AP7" s="1192">
        <f>VLOOKUP(AP3,__Периоды,2,0)</f>
        <v>45566</v>
      </c>
      <c r="AQ7" s="1198"/>
      <c r="AR7" s="1205"/>
      <c r="AS7" s="743"/>
      <c r="AT7" s="743"/>
      <c r="AU7" s="743"/>
      <c r="AV7" s="743"/>
      <c r="AW7" s="743"/>
      <c r="AX7" s="743"/>
      <c r="AY7" s="743"/>
      <c r="AZ7" s="738"/>
    </row>
    <row r="8" spans="1:52" s="355" customFormat="1" ht="13.5" thickBot="1" x14ac:dyDescent="0.25">
      <c r="A8" s="792"/>
      <c r="B8" s="697"/>
      <c r="C8" s="380">
        <f ca="1">YEAR(C7)</f>
        <v>2012</v>
      </c>
      <c r="D8" s="381">
        <f ca="1">MONTH(C7)</f>
        <v>1</v>
      </c>
      <c r="E8" s="382">
        <f ca="1">Параметры!B7</f>
        <v>1</v>
      </c>
      <c r="F8" s="383">
        <f ca="1">TODAY()</f>
        <v>44664</v>
      </c>
      <c r="G8" s="384">
        <f>DATE(2012,1,1)</f>
        <v>40909</v>
      </c>
      <c r="H8" s="385"/>
      <c r="I8" s="386">
        <f>Параметры!B4</f>
        <v>17</v>
      </c>
      <c r="J8" s="381"/>
      <c r="K8" s="381"/>
      <c r="L8" s="381"/>
      <c r="M8" s="381"/>
      <c r="N8" s="381"/>
      <c r="O8" s="375"/>
      <c r="P8" s="375"/>
      <c r="Q8" s="378"/>
      <c r="R8" s="379"/>
      <c r="S8" s="796"/>
      <c r="T8" s="1187"/>
      <c r="U8" s="1198"/>
      <c r="V8" s="1198"/>
      <c r="W8" s="1198"/>
      <c r="X8" s="1187"/>
      <c r="Y8" s="1187"/>
      <c r="Z8" s="1200"/>
      <c r="AA8" s="1197"/>
      <c r="AB8" s="1197"/>
      <c r="AC8" s="1203"/>
      <c r="AD8" s="1203"/>
      <c r="AE8" s="1203"/>
      <c r="AF8" s="1203"/>
      <c r="AG8" s="1203"/>
      <c r="AH8" s="1186"/>
      <c r="AI8" s="1186"/>
      <c r="AJ8" s="1186" t="e">
        <f>MONTH(AJ10)</f>
        <v>#N/A</v>
      </c>
      <c r="AK8" s="1186"/>
      <c r="AL8" s="1198"/>
      <c r="AM8" s="1202">
        <f ca="1">IF(AM7&lt;Параметры!$B$4,AM7+1,"")</f>
        <v>17</v>
      </c>
      <c r="AN8" s="1206" t="e">
        <f>VLOOKUP(AN3,__Периоды,3,0)</f>
        <v>#N/A</v>
      </c>
      <c r="AO8" s="1207">
        <f>VLOOKUP(AL3,__Периоды,3,0)</f>
        <v>0.78</v>
      </c>
      <c r="AP8" s="1207">
        <f>VLOOKUP(AP3,__Периоды,3,0)</f>
        <v>0.78</v>
      </c>
      <c r="AQ8" s="1198"/>
      <c r="AR8" s="1205"/>
      <c r="AS8" s="743"/>
      <c r="AT8" s="743"/>
      <c r="AU8" s="743"/>
      <c r="AV8" s="743"/>
      <c r="AW8" s="743"/>
      <c r="AX8" s="743"/>
      <c r="AY8" s="743"/>
      <c r="AZ8" s="738"/>
    </row>
    <row r="9" spans="1:52" s="355" customFormat="1" ht="16.5" thickTop="1" thickBot="1" x14ac:dyDescent="0.3">
      <c r="A9" s="792"/>
      <c r="B9" s="697"/>
      <c r="C9" s="641" t="s">
        <v>51</v>
      </c>
      <c r="D9" s="642"/>
      <c r="E9" s="643" t="s">
        <v>81</v>
      </c>
      <c r="F9" s="644" t="s">
        <v>0</v>
      </c>
      <c r="G9" s="645" t="s">
        <v>1</v>
      </c>
      <c r="H9" s="645" t="s">
        <v>70</v>
      </c>
      <c r="I9" s="645" t="s">
        <v>117</v>
      </c>
      <c r="J9" s="646" t="s">
        <v>3</v>
      </c>
      <c r="K9" s="647" t="s">
        <v>4</v>
      </c>
      <c r="L9" s="648" t="s">
        <v>75</v>
      </c>
      <c r="M9" s="804"/>
      <c r="N9" s="646" t="s">
        <v>228</v>
      </c>
      <c r="O9" s="1397" t="s">
        <v>219</v>
      </c>
      <c r="P9" s="1398"/>
      <c r="Q9" s="373"/>
      <c r="R9" s="374"/>
      <c r="S9" s="765"/>
      <c r="T9" s="1187"/>
      <c r="U9" s="1186"/>
      <c r="V9" s="1186"/>
      <c r="W9" s="1186"/>
      <c r="X9" s="1187"/>
      <c r="Y9" s="1187"/>
      <c r="Z9" s="1187"/>
      <c r="AA9" s="1197"/>
      <c r="AB9" s="1197"/>
      <c r="AC9" s="1208" t="e">
        <f>IF( VLOOKUP(AN3,__Периоды,4,0) = "", 0,VLOOKUP(AN3,__Периоды,4,0))</f>
        <v>#N/A</v>
      </c>
      <c r="AD9" s="1203"/>
      <c r="AE9" s="1208">
        <f>IF(VLOOKUP(AP3,__Периоды,4,0) = "",0,VLOOKUP(AP3,__Периоды,4,0))</f>
        <v>0.04</v>
      </c>
      <c r="AF9" s="1209"/>
      <c r="AG9" s="1209"/>
      <c r="AH9" s="1198"/>
      <c r="AI9" s="1198"/>
      <c r="AJ9" s="1191">
        <f>AN3-1</f>
        <v>-1</v>
      </c>
      <c r="AK9" s="1198"/>
      <c r="AL9" s="1186"/>
      <c r="AM9" s="1202" t="str">
        <f ca="1">IF(AM8&lt;Параметры!$B$4,AM8+1,"")</f>
        <v/>
      </c>
      <c r="AN9" s="1208" t="e">
        <f>IF( VLOOKUP(AN3,__Периоды,4,0) = "", 0,VLOOKUP(AN3,__Периоды,4,0))</f>
        <v>#N/A</v>
      </c>
      <c r="AO9" s="1207">
        <f>AP9</f>
        <v>0.04</v>
      </c>
      <c r="AP9" s="1207">
        <f>IF(VLOOKUP(AP3,__Периоды,4,0)="",0,(VLOOKUP(AP3,__Периоды,4,0)))</f>
        <v>0.04</v>
      </c>
      <c r="AQ9" s="1186"/>
      <c r="AR9" s="1199"/>
      <c r="AS9" s="742"/>
      <c r="AT9" s="742"/>
      <c r="AU9" s="742"/>
      <c r="AV9" s="742"/>
      <c r="AW9" s="742"/>
      <c r="AX9" s="742"/>
      <c r="AY9" s="742"/>
      <c r="AZ9" s="738"/>
    </row>
    <row r="10" spans="1:52" s="355" customFormat="1" ht="12.75" x14ac:dyDescent="0.2">
      <c r="A10" s="792"/>
      <c r="B10" s="732"/>
      <c r="C10" s="387">
        <f t="shared" ref="C10:C21" ca="1" si="0">IF(D10="===&gt;",$C$7," ")</f>
        <v>40909</v>
      </c>
      <c r="D10" s="379" t="str">
        <f t="shared" ref="D10:D21" ca="1" si="1">IF(AND($C$7&gt;=F10,F11=""),"===&gt;",IF(AND($C$7&gt;=F10,$C$7&lt;F11),"===&gt;"," "))</f>
        <v>===&gt;</v>
      </c>
      <c r="E10" s="668">
        <v>1</v>
      </c>
      <c r="F10" s="669">
        <v>40909</v>
      </c>
      <c r="G10" s="670">
        <v>0.54</v>
      </c>
      <c r="H10" s="670"/>
      <c r="I10" s="1010">
        <f>IF(YEAR(F10)&gt;2035,1,(YEAR(F10)-2012)*0.02+0.54)</f>
        <v>0.54</v>
      </c>
      <c r="J10" s="671" t="str">
        <f ca="1">IF(F10&lt;=$F$8,"Архив","Прогноз")</f>
        <v>Архив</v>
      </c>
      <c r="K10" s="672">
        <f t="shared" ref="K10:K21" ca="1" si="2">IF(J10="Прогноз","",IF(J10&lt;&gt;"&lt;===",DATEDIF(F10,F11,"m"),DATEDIF(F10,TODAY(),"m")+1))</f>
        <v>12</v>
      </c>
      <c r="L10" s="673">
        <f>IF(E10&gt;1,IF(H10&gt;0,L9+1,L9),1)</f>
        <v>1</v>
      </c>
      <c r="M10" s="999" t="str">
        <f t="shared" ref="M10:M21" ca="1" si="3">IF(J10="&lt;===",TODAY()," ")</f>
        <v xml:space="preserve"> </v>
      </c>
      <c r="N10" s="871"/>
      <c r="O10" s="805"/>
      <c r="P10" s="662"/>
      <c r="Q10" s="373"/>
      <c r="R10" s="374"/>
      <c r="S10" s="765"/>
      <c r="T10" s="1187"/>
      <c r="U10" s="1186"/>
      <c r="V10" s="1186"/>
      <c r="W10" s="1186"/>
      <c r="X10" s="1187"/>
      <c r="Y10" s="1187"/>
      <c r="Z10" s="1200"/>
      <c r="AA10" s="1197"/>
      <c r="AB10" s="1186"/>
      <c r="AC10" s="1203"/>
      <c r="AD10" s="1203"/>
      <c r="AE10" s="1210"/>
      <c r="AF10" s="1208"/>
      <c r="AG10" s="1208"/>
      <c r="AH10" s="1198"/>
      <c r="AI10" s="1198"/>
      <c r="AJ10" s="1188" t="e">
        <f>AN5</f>
        <v>#N/A</v>
      </c>
      <c r="AK10" s="1198"/>
      <c r="AL10" s="1186"/>
      <c r="AM10" s="1202" t="str">
        <f ca="1">IF(AM9&lt;Параметры!$B$4,AM9+1,"")</f>
        <v/>
      </c>
      <c r="AN10" s="1208" t="e">
        <f>IF( VLOOKUP(AN3,__Периоды,10,0) = "", 0,VLOOKUP(AN3,__Периоды,10,0))</f>
        <v>#N/A</v>
      </c>
      <c r="AO10" s="1207">
        <f>AP10</f>
        <v>0</v>
      </c>
      <c r="AP10" s="1207">
        <f>IF(VLOOKUP(AP3,__Периоды,10,0)="",0,(VLOOKUP(AP3,__Периоды,10,0)))</f>
        <v>0</v>
      </c>
      <c r="AQ10" s="1186"/>
      <c r="AR10" s="1199"/>
      <c r="AS10" s="742"/>
      <c r="AT10" s="742"/>
      <c r="AU10" s="742"/>
      <c r="AV10" s="742"/>
      <c r="AW10" s="742"/>
      <c r="AX10" s="742"/>
      <c r="AY10" s="742"/>
      <c r="AZ10" s="738"/>
    </row>
    <row r="11" spans="1:52" s="355" customFormat="1" ht="12.75" x14ac:dyDescent="0.2">
      <c r="A11" s="792"/>
      <c r="B11" s="732"/>
      <c r="C11" s="387" t="str">
        <f t="shared" ca="1" si="0"/>
        <v xml:space="preserve"> </v>
      </c>
      <c r="D11" s="379" t="str">
        <f t="shared" ca="1" si="1"/>
        <v xml:space="preserve"> </v>
      </c>
      <c r="E11" s="674">
        <f>E10+1</f>
        <v>2</v>
      </c>
      <c r="F11" s="675">
        <v>41275</v>
      </c>
      <c r="G11" s="676">
        <v>0.56000000000000005</v>
      </c>
      <c r="H11" s="676"/>
      <c r="I11" s="1011">
        <f>IF(YEAR(F11)&gt;2035,1,(YEAR(F11)-2012)*0.02+0.54)</f>
        <v>0.56000000000000005</v>
      </c>
      <c r="J11" s="671" t="str">
        <f t="shared" ref="J11:J20" ca="1" si="4">IF(F11&lt;=$F$8,IF(F12&gt;$F$8,"&lt;===","Архив"),"Прогноз")</f>
        <v>Архив</v>
      </c>
      <c r="K11" s="677">
        <f t="shared" ca="1" si="2"/>
        <v>9</v>
      </c>
      <c r="L11" s="678">
        <f>IF(E11&gt;1,IF(H11&gt;0,L10+1,L10),1)</f>
        <v>1</v>
      </c>
      <c r="M11" s="1000" t="str">
        <f t="shared" ca="1" si="3"/>
        <v xml:space="preserve"> </v>
      </c>
      <c r="N11" s="872"/>
      <c r="O11" s="806"/>
      <c r="P11" s="661"/>
      <c r="Q11" s="373"/>
      <c r="R11" s="374"/>
      <c r="S11" s="765"/>
      <c r="T11" s="1187"/>
      <c r="U11" s="1186"/>
      <c r="V11" s="1186"/>
      <c r="W11" s="1186"/>
      <c r="X11" s="1187"/>
      <c r="Y11" s="1187"/>
      <c r="Z11" s="1187"/>
      <c r="AA11" s="1186"/>
      <c r="AB11" s="1186"/>
      <c r="AC11" s="1203"/>
      <c r="AD11" s="1211"/>
      <c r="AE11" s="1201"/>
      <c r="AF11" s="1203"/>
      <c r="AG11" s="1203"/>
      <c r="AH11" s="1186" t="e">
        <f xml:space="preserve"> IF(AJ8  = 12,YEAR(AJ10)+1,YEAR(AJ10))</f>
        <v>#N/A</v>
      </c>
      <c r="AI11" s="1186"/>
      <c r="AJ11" s="1206" t="e">
        <f>VLOOKUP(AJ9,__Периоды,3,0)</f>
        <v>#N/A</v>
      </c>
      <c r="AK11" s="1186"/>
      <c r="AL11" s="1186"/>
      <c r="AM11" s="1202" t="str">
        <f ca="1">IF(AM10&lt;Параметры!$B$4,AM10+1,"")</f>
        <v/>
      </c>
      <c r="AN11" s="1186" t="e">
        <f>YEAR(AN7)</f>
        <v>#N/A</v>
      </c>
      <c r="AO11" s="1189">
        <f>YEAR(AO5)</f>
        <v>2024</v>
      </c>
      <c r="AP11" s="1200">
        <f>ROW($E$10) +$U$2 - 1</f>
        <v>26</v>
      </c>
      <c r="AQ11" s="1186"/>
      <c r="AR11" s="1199"/>
      <c r="AS11" s="742"/>
      <c r="AT11" s="742"/>
      <c r="AU11" s="742"/>
      <c r="AV11" s="742"/>
      <c r="AW11" s="742"/>
      <c r="AX11" s="742"/>
      <c r="AY11" s="742"/>
      <c r="AZ11" s="738"/>
    </row>
    <row r="12" spans="1:52" s="355" customFormat="1" ht="12" customHeight="1" x14ac:dyDescent="0.2">
      <c r="A12" s="792"/>
      <c r="B12" s="732"/>
      <c r="C12" s="387" t="str">
        <f t="shared" ca="1" si="0"/>
        <v xml:space="preserve"> </v>
      </c>
      <c r="D12" s="379" t="str">
        <f t="shared" ca="1" si="1"/>
        <v xml:space="preserve"> </v>
      </c>
      <c r="E12" s="674">
        <f>E11+1</f>
        <v>3</v>
      </c>
      <c r="F12" s="675">
        <v>41548</v>
      </c>
      <c r="G12" s="676">
        <v>0.58050000000000002</v>
      </c>
      <c r="H12" s="676"/>
      <c r="I12" s="1011">
        <f>IF(YEAR(F12)&gt;2035,1,(YEAR(F12)-2012)*0.02+0.54)</f>
        <v>0.56000000000000005</v>
      </c>
      <c r="J12" s="671" t="str">
        <f t="shared" ca="1" si="4"/>
        <v>Архив</v>
      </c>
      <c r="K12" s="677">
        <f ca="1">IF(J12="Прогноз","",IF(J12&lt;&gt;"&lt;===",DATEDIF(F12,F13,"m"),DATEDIF(F12,TODAY(),"m")+1))</f>
        <v>3</v>
      </c>
      <c r="L12" s="678">
        <f>IF(E12&gt;1,IF(H12&gt;0,L11+1,L11),1)</f>
        <v>1</v>
      </c>
      <c r="M12" s="1000" t="str">
        <f t="shared" ca="1" si="3"/>
        <v xml:space="preserve"> </v>
      </c>
      <c r="N12" s="872"/>
      <c r="O12" s="807"/>
      <c r="P12" s="660"/>
      <c r="Q12" s="373"/>
      <c r="R12" s="374"/>
      <c r="S12" s="765"/>
      <c r="T12" s="1187"/>
      <c r="U12" s="1186"/>
      <c r="V12" s="1186"/>
      <c r="W12" s="1186"/>
      <c r="X12" s="1187"/>
      <c r="Y12" s="1187"/>
      <c r="Z12" s="1187"/>
      <c r="AA12" s="1186"/>
      <c r="AB12" s="1186"/>
      <c r="AC12" s="1203"/>
      <c r="AD12" s="1203"/>
      <c r="AE12" s="1208" t="e">
        <f>IF(VLOOKUP(AJ9,__Периоды,4,0) = "",0,VLOOKUP(AJ9,__Периоды,4,0))</f>
        <v>#N/A</v>
      </c>
      <c r="AF12" s="1203"/>
      <c r="AG12" s="1203"/>
      <c r="AH12" s="1186" t="e">
        <f xml:space="preserve"> IF(AJ8  = 12,1,AJ8+1)</f>
        <v>#N/A</v>
      </c>
      <c r="AI12" s="1186"/>
      <c r="AJ12" s="1206" t="e">
        <f>VLOOKUP(AJ9,__Периоды,4,0)</f>
        <v>#N/A</v>
      </c>
      <c r="AK12" s="1186"/>
      <c r="AL12" s="1186"/>
      <c r="AM12" s="1202" t="str">
        <f ca="1">IF(AM11&lt;Параметры!$B$4,AM11+1,"")</f>
        <v/>
      </c>
      <c r="AN12" s="1186" t="e">
        <f>MONTH(AN7)</f>
        <v>#N/A</v>
      </c>
      <c r="AO12" s="1189">
        <f>MONTH(AO5)</f>
        <v>11</v>
      </c>
      <c r="AP12" s="1189"/>
      <c r="AQ12" s="1186"/>
      <c r="AR12" s="1199"/>
      <c r="AS12" s="742"/>
      <c r="AT12" s="742"/>
      <c r="AU12" s="742"/>
      <c r="AV12" s="742"/>
      <c r="AW12" s="742"/>
      <c r="AX12" s="742"/>
      <c r="AY12" s="742"/>
      <c r="AZ12" s="738"/>
    </row>
    <row r="13" spans="1:52" s="355" customFormat="1" ht="12.75" x14ac:dyDescent="0.2">
      <c r="A13" s="792"/>
      <c r="B13" s="732"/>
      <c r="C13" s="387" t="str">
        <f t="shared" ca="1" si="0"/>
        <v xml:space="preserve"> </v>
      </c>
      <c r="D13" s="379" t="str">
        <f t="shared" ca="1" si="1"/>
        <v xml:space="preserve"> </v>
      </c>
      <c r="E13" s="674">
        <f t="shared" ref="E13:E21" si="5">E12+1</f>
        <v>4</v>
      </c>
      <c r="F13" s="675">
        <v>41640</v>
      </c>
      <c r="G13" s="676">
        <v>0.60050000000000003</v>
      </c>
      <c r="H13" s="676"/>
      <c r="I13" s="1011">
        <f>IF(YEAR(F13)&gt;2035,1,(YEAR(F13)-2012)*0.02+0.54)</f>
        <v>0.58000000000000007</v>
      </c>
      <c r="J13" s="671" t="str">
        <f t="shared" ca="1" si="4"/>
        <v>Архив</v>
      </c>
      <c r="K13" s="677">
        <f t="shared" ca="1" si="2"/>
        <v>9</v>
      </c>
      <c r="L13" s="678">
        <f>IF(E13&gt;1,IF(H13&gt;0,L12+1,L12),1)</f>
        <v>1</v>
      </c>
      <c r="M13" s="1000" t="str">
        <f t="shared" ca="1" si="3"/>
        <v xml:space="preserve"> </v>
      </c>
      <c r="N13" s="872"/>
      <c r="O13" s="807"/>
      <c r="P13" s="660"/>
      <c r="Q13" s="373"/>
      <c r="R13" s="374"/>
      <c r="S13" s="765"/>
      <c r="T13" s="1187"/>
      <c r="U13" s="1186"/>
      <c r="V13" s="1186"/>
      <c r="W13" s="1186"/>
      <c r="X13" s="1187"/>
      <c r="Y13" s="1187"/>
      <c r="Z13" s="1187"/>
      <c r="AA13" s="1186"/>
      <c r="AB13" s="1186"/>
      <c r="AC13" s="1212"/>
      <c r="AD13" s="1211"/>
      <c r="AE13" s="1203"/>
      <c r="AF13" s="1203"/>
      <c r="AG13" s="1203"/>
      <c r="AH13" s="1186" t="e">
        <f>ROUNDDOWN(AJ13 * 100,0)</f>
        <v>#N/A</v>
      </c>
      <c r="AI13" s="1186"/>
      <c r="AJ13" s="1186" t="e">
        <f>VLOOKUP(AN3-1,__Периоды,3,0)</f>
        <v>#N/A</v>
      </c>
      <c r="AK13" s="1186"/>
      <c r="AL13" s="1186"/>
      <c r="AM13" s="1202" t="str">
        <f ca="1">IF(AM12&lt;Параметры!$B$4,AM12+1,"")</f>
        <v/>
      </c>
      <c r="AN13" s="1186" t="e">
        <f>ROUNDDOWN(AN8 * 100,0)</f>
        <v>#N/A</v>
      </c>
      <c r="AO13" s="1189">
        <f>ROUNDDOWN(AO8 * 100,0)</f>
        <v>78</v>
      </c>
      <c r="AP13" s="1189"/>
      <c r="AQ13" s="1186"/>
      <c r="AR13" s="1199"/>
      <c r="AS13" s="742"/>
      <c r="AT13" s="742"/>
      <c r="AU13" s="742"/>
      <c r="AV13" s="742"/>
      <c r="AW13" s="742"/>
      <c r="AX13" s="742"/>
      <c r="AY13" s="742"/>
      <c r="AZ13" s="738"/>
    </row>
    <row r="14" spans="1:52" s="355" customFormat="1" ht="12.75" x14ac:dyDescent="0.2">
      <c r="A14" s="792"/>
      <c r="B14" s="732"/>
      <c r="C14" s="387" t="str">
        <f t="shared" ca="1" si="0"/>
        <v xml:space="preserve"> </v>
      </c>
      <c r="D14" s="379" t="str">
        <f t="shared" ca="1" si="1"/>
        <v xml:space="preserve"> </v>
      </c>
      <c r="E14" s="674">
        <f t="shared" si="5"/>
        <v>5</v>
      </c>
      <c r="F14" s="675">
        <v>41913</v>
      </c>
      <c r="G14" s="676">
        <v>0.62119999999999997</v>
      </c>
      <c r="H14" s="676"/>
      <c r="I14" s="1011">
        <f>IF(YEAR(F14)&gt;2035,1,(YEAR(F14)-2012)*0.02+0.54)</f>
        <v>0.58000000000000007</v>
      </c>
      <c r="J14" s="671" t="str">
        <f t="shared" ca="1" si="4"/>
        <v>Архив</v>
      </c>
      <c r="K14" s="677">
        <f t="shared" ca="1" si="2"/>
        <v>12</v>
      </c>
      <c r="L14" s="678">
        <f>IF(E14&gt;1,IF(H14&gt;0,L13+1,L13),1)</f>
        <v>1</v>
      </c>
      <c r="M14" s="1000" t="str">
        <f t="shared" ca="1" si="3"/>
        <v xml:space="preserve"> </v>
      </c>
      <c r="N14" s="872"/>
      <c r="O14" s="807"/>
      <c r="P14" s="660"/>
      <c r="Q14" s="373"/>
      <c r="R14" s="374"/>
      <c r="S14" s="765"/>
      <c r="T14" s="1187"/>
      <c r="U14" s="1186"/>
      <c r="V14" s="1186"/>
      <c r="W14" s="1186"/>
      <c r="X14" s="1187"/>
      <c r="Y14" s="1187"/>
      <c r="Z14" s="1187"/>
      <c r="AA14" s="1187"/>
      <c r="AB14" s="1187"/>
      <c r="AC14" s="1186"/>
      <c r="AD14" s="1186"/>
      <c r="AE14" s="1186"/>
      <c r="AF14" s="1186"/>
      <c r="AG14" s="1186"/>
      <c r="AH14" s="1187" t="e">
        <f>AJ13 * 10000 -AH13*100</f>
        <v>#N/A</v>
      </c>
      <c r="AI14" s="1186"/>
      <c r="AJ14" s="1186"/>
      <c r="AK14" s="1186"/>
      <c r="AL14" s="1186"/>
      <c r="AM14" s="1202" t="str">
        <f ca="1">IF(AM13&lt;Параметры!$B$4,AM13+1,"")</f>
        <v/>
      </c>
      <c r="AN14" s="1187" t="e">
        <f>AN8 * 10000 -AN13*100</f>
        <v>#N/A</v>
      </c>
      <c r="AO14" s="1200">
        <f>AO8 * 10000 - AO13*100</f>
        <v>0</v>
      </c>
      <c r="AP14" s="1189"/>
      <c r="AQ14" s="1186"/>
      <c r="AR14" s="1199"/>
      <c r="AS14" s="742"/>
      <c r="AT14" s="742"/>
      <c r="AU14" s="742"/>
      <c r="AV14" s="742"/>
      <c r="AW14" s="742"/>
      <c r="AX14" s="742"/>
      <c r="AY14" s="742"/>
      <c r="AZ14" s="738"/>
    </row>
    <row r="15" spans="1:52" s="355" customFormat="1" ht="12.75" x14ac:dyDescent="0.2">
      <c r="A15" s="792"/>
      <c r="B15" s="732"/>
      <c r="C15" s="387" t="str">
        <f t="shared" ca="1" si="0"/>
        <v xml:space="preserve"> </v>
      </c>
      <c r="D15" s="379" t="str">
        <f t="shared" ca="1" si="1"/>
        <v xml:space="preserve"> </v>
      </c>
      <c r="E15" s="674">
        <f t="shared" si="5"/>
        <v>6</v>
      </c>
      <c r="F15" s="675">
        <v>42278</v>
      </c>
      <c r="G15" s="676">
        <v>0.66779999999999995</v>
      </c>
      <c r="H15" s="676"/>
      <c r="I15" s="1011">
        <f t="shared" ref="I15:I21" si="6">IF(YEAR(F15)&gt;2035,1,(YEAR(F15)-2012)*0.02+0.54)</f>
        <v>0.60000000000000009</v>
      </c>
      <c r="J15" s="671" t="str">
        <f t="shared" ca="1" si="4"/>
        <v>Архив</v>
      </c>
      <c r="K15" s="677">
        <f t="shared" ca="1" si="2"/>
        <v>4</v>
      </c>
      <c r="L15" s="678">
        <f t="shared" ref="L15:L21" si="7">IF(E15&gt;1,IF(H15&gt;0,L14+1,L14),1)</f>
        <v>1</v>
      </c>
      <c r="M15" s="1000" t="str">
        <f t="shared" ca="1" si="3"/>
        <v xml:space="preserve"> </v>
      </c>
      <c r="N15" s="872"/>
      <c r="O15" s="807"/>
      <c r="P15" s="660"/>
      <c r="Q15" s="373"/>
      <c r="R15" s="374"/>
      <c r="S15" s="765"/>
      <c r="T15" s="1187"/>
      <c r="U15" s="1186"/>
      <c r="V15" s="1186"/>
      <c r="W15" s="1186"/>
      <c r="X15" s="1187"/>
      <c r="Y15" s="1187"/>
      <c r="Z15" s="1187"/>
      <c r="AA15" s="1186"/>
      <c r="AB15" s="1186"/>
      <c r="AC15" s="1189"/>
      <c r="AD15" s="1197"/>
      <c r="AE15" s="1186"/>
      <c r="AF15" s="1186"/>
      <c r="AG15" s="1186"/>
      <c r="AH15" s="1186"/>
      <c r="AI15" s="1186"/>
      <c r="AJ15" s="1186"/>
      <c r="AK15" s="1186"/>
      <c r="AL15" s="1186" t="e">
        <f>ROUNDDOWN(AN10 * 100,0)</f>
        <v>#N/A</v>
      </c>
      <c r="AM15" s="1190"/>
      <c r="AN15" s="1186" t="e">
        <f>ROUNDDOWN(AN9 * 100,0)</f>
        <v>#N/A</v>
      </c>
      <c r="AO15" s="1189"/>
      <c r="AP15" s="1189"/>
      <c r="AQ15" s="1186"/>
      <c r="AR15" s="1199"/>
      <c r="AS15" s="742"/>
      <c r="AT15" s="742"/>
      <c r="AU15" s="742"/>
      <c r="AV15" s="742"/>
      <c r="AW15" s="742"/>
      <c r="AX15" s="742"/>
      <c r="AY15" s="742"/>
      <c r="AZ15" s="738"/>
    </row>
    <row r="16" spans="1:52" s="355" customFormat="1" ht="12.75" x14ac:dyDescent="0.2">
      <c r="A16" s="792"/>
      <c r="B16" s="732"/>
      <c r="C16" s="387" t="str">
        <f t="shared" ca="1" si="0"/>
        <v xml:space="preserve"> </v>
      </c>
      <c r="D16" s="379" t="str">
        <f t="shared" ca="1" si="1"/>
        <v xml:space="preserve"> </v>
      </c>
      <c r="E16" s="674">
        <f t="shared" si="5"/>
        <v>7</v>
      </c>
      <c r="F16" s="675">
        <v>42401</v>
      </c>
      <c r="G16" s="676">
        <v>0.69450000000000001</v>
      </c>
      <c r="H16" s="676"/>
      <c r="I16" s="1011">
        <f t="shared" si="6"/>
        <v>0.62</v>
      </c>
      <c r="J16" s="671" t="str">
        <f t="shared" ca="1" si="4"/>
        <v>Архив</v>
      </c>
      <c r="K16" s="677">
        <f t="shared" ca="1" si="2"/>
        <v>12</v>
      </c>
      <c r="L16" s="678">
        <f t="shared" si="7"/>
        <v>1</v>
      </c>
      <c r="M16" s="1000" t="str">
        <f t="shared" ca="1" si="3"/>
        <v xml:space="preserve"> </v>
      </c>
      <c r="N16" s="872"/>
      <c r="O16" s="807"/>
      <c r="P16" s="660"/>
      <c r="Q16" s="373"/>
      <c r="R16" s="374"/>
      <c r="S16" s="765"/>
      <c r="T16" s="1187"/>
      <c r="U16" s="1186"/>
      <c r="V16" s="1186"/>
      <c r="W16" s="1186"/>
      <c r="X16" s="1187"/>
      <c r="Y16" s="1187"/>
      <c r="Z16" s="1187"/>
      <c r="AA16" s="1187"/>
      <c r="AB16" s="1187"/>
      <c r="AC16" s="1186"/>
      <c r="AD16" s="1186"/>
      <c r="AE16" s="1186"/>
      <c r="AF16" s="1186"/>
      <c r="AG16" s="1186"/>
      <c r="AH16" s="1186"/>
      <c r="AI16" s="1186"/>
      <c r="AJ16" s="1186"/>
      <c r="AK16" s="1186"/>
      <c r="AL16" s="1213" t="e">
        <f>AN10 * 10000 - AL15 * 100</f>
        <v>#N/A</v>
      </c>
      <c r="AM16" s="1190"/>
      <c r="AN16" s="1213" t="e">
        <f>AN9 * 10000 - AN15 * 100</f>
        <v>#N/A</v>
      </c>
      <c r="AO16" s="1200"/>
      <c r="AP16" s="1189"/>
      <c r="AQ16" s="1186"/>
      <c r="AR16" s="1199"/>
      <c r="AS16" s="742"/>
      <c r="AT16" s="742"/>
      <c r="AU16" s="742"/>
      <c r="AV16" s="742"/>
      <c r="AW16" s="742"/>
      <c r="AX16" s="742"/>
      <c r="AY16" s="742"/>
      <c r="AZ16" s="738"/>
    </row>
    <row r="17" spans="1:16330" s="355" customFormat="1" ht="12.75" x14ac:dyDescent="0.2">
      <c r="A17" s="792"/>
      <c r="B17" s="732"/>
      <c r="C17" s="387" t="str">
        <f t="shared" ca="1" si="0"/>
        <v xml:space="preserve"> </v>
      </c>
      <c r="D17" s="379" t="str">
        <f t="shared" ca="1" si="1"/>
        <v xml:space="preserve"> </v>
      </c>
      <c r="E17" s="674">
        <f t="shared" si="5"/>
        <v>8</v>
      </c>
      <c r="F17" s="675">
        <v>42767</v>
      </c>
      <c r="G17" s="676">
        <v>0.72230000000000005</v>
      </c>
      <c r="H17" s="676"/>
      <c r="I17" s="1011">
        <f t="shared" si="6"/>
        <v>0.64</v>
      </c>
      <c r="J17" s="671" t="str">
        <f t="shared" ca="1" si="4"/>
        <v>Архив</v>
      </c>
      <c r="K17" s="677">
        <f t="shared" ca="1" si="2"/>
        <v>11</v>
      </c>
      <c r="L17" s="678">
        <f t="shared" si="7"/>
        <v>1</v>
      </c>
      <c r="M17" s="1000" t="str">
        <f t="shared" ca="1" si="3"/>
        <v xml:space="preserve"> </v>
      </c>
      <c r="N17" s="872"/>
      <c r="O17" s="807"/>
      <c r="P17" s="660"/>
      <c r="Q17" s="373"/>
      <c r="R17" s="374"/>
      <c r="S17" s="765"/>
      <c r="T17" s="1186"/>
      <c r="U17" s="1186"/>
      <c r="V17" s="1186"/>
      <c r="W17" s="1186"/>
      <c r="X17" s="1187"/>
      <c r="Y17" s="1187"/>
      <c r="Z17" s="1187"/>
      <c r="AA17" s="1186"/>
      <c r="AB17" s="1186"/>
      <c r="AC17" s="1186"/>
      <c r="AD17" s="1197"/>
      <c r="AE17" s="1186"/>
      <c r="AF17" s="1186"/>
      <c r="AG17" s="1186"/>
      <c r="AH17" s="1186"/>
      <c r="AI17" s="1186"/>
      <c r="AJ17" s="1186"/>
      <c r="AK17" s="1186"/>
      <c r="AL17" s="1186"/>
      <c r="AM17" s="1190"/>
      <c r="AN17" s="1191">
        <v>1</v>
      </c>
      <c r="AO17" s="1200">
        <v>1</v>
      </c>
      <c r="AP17" s="1189"/>
      <c r="AQ17" s="1186"/>
      <c r="AR17" s="1199"/>
      <c r="AS17" s="742"/>
      <c r="AT17" s="742"/>
      <c r="AU17" s="742"/>
      <c r="AV17" s="742"/>
      <c r="AW17" s="742"/>
      <c r="AX17" s="742"/>
      <c r="AY17" s="742"/>
      <c r="AZ17" s="738"/>
    </row>
    <row r="18" spans="1:16330" s="355" customFormat="1" ht="12.75" x14ac:dyDescent="0.2">
      <c r="A18" s="792"/>
      <c r="B18" s="732"/>
      <c r="C18" s="387" t="str">
        <f t="shared" ca="1" si="0"/>
        <v xml:space="preserve"> </v>
      </c>
      <c r="D18" s="379" t="str">
        <f t="shared" ca="1" si="1"/>
        <v xml:space="preserve"> </v>
      </c>
      <c r="E18" s="674">
        <f t="shared" si="5"/>
        <v>9</v>
      </c>
      <c r="F18" s="675">
        <v>43101</v>
      </c>
      <c r="G18" s="676">
        <v>0.72230000000000005</v>
      </c>
      <c r="H18" s="676">
        <v>0.04</v>
      </c>
      <c r="I18" s="1011">
        <f t="shared" si="6"/>
        <v>0.66</v>
      </c>
      <c r="J18" s="671" t="str">
        <f t="shared" ca="1" si="4"/>
        <v>Архив</v>
      </c>
      <c r="K18" s="677">
        <f t="shared" ca="1" si="2"/>
        <v>21</v>
      </c>
      <c r="L18" s="678">
        <f t="shared" si="7"/>
        <v>2</v>
      </c>
      <c r="M18" s="1000" t="str">
        <f t="shared" ca="1" si="3"/>
        <v xml:space="preserve"> </v>
      </c>
      <c r="N18" s="872"/>
      <c r="O18" s="807"/>
      <c r="P18" s="660"/>
      <c r="Q18" s="373"/>
      <c r="R18" s="374"/>
      <c r="S18" s="765"/>
      <c r="T18" s="1186"/>
      <c r="U18" s="1186"/>
      <c r="V18" s="1186"/>
      <c r="W18" s="1186"/>
      <c r="X18" s="1187"/>
      <c r="Y18" s="1187"/>
      <c r="Z18" s="1187"/>
      <c r="AA18" s="1186"/>
      <c r="AB18" s="1186"/>
      <c r="AC18" s="1186"/>
      <c r="AD18" s="1186"/>
      <c r="AE18" s="1186"/>
      <c r="AF18" s="1186"/>
      <c r="AG18" s="1186"/>
      <c r="AH18" s="1186"/>
      <c r="AI18" s="1186"/>
      <c r="AJ18" s="1186"/>
      <c r="AK18" s="1186"/>
      <c r="AL18" s="1186"/>
      <c r="AM18" s="1190"/>
      <c r="AN18" s="1191">
        <v>10</v>
      </c>
      <c r="AO18" s="1200">
        <v>1</v>
      </c>
      <c r="AP18" s="1189"/>
      <c r="AQ18" s="1186"/>
      <c r="AR18" s="1199"/>
      <c r="AS18" s="742"/>
      <c r="AT18" s="742"/>
      <c r="AU18" s="742"/>
      <c r="AV18" s="742"/>
      <c r="AW18" s="742"/>
      <c r="AX18" s="742"/>
      <c r="AY18" s="742"/>
      <c r="AZ18" s="738"/>
    </row>
    <row r="19" spans="1:16330" s="355" customFormat="1" ht="12.75" x14ac:dyDescent="0.2">
      <c r="A19" s="792"/>
      <c r="B19" s="732"/>
      <c r="C19" s="387" t="str">
        <f t="shared" ca="1" si="0"/>
        <v xml:space="preserve"> </v>
      </c>
      <c r="D19" s="379" t="str">
        <f t="shared" ca="1" si="1"/>
        <v xml:space="preserve"> </v>
      </c>
      <c r="E19" s="674">
        <f t="shared" si="5"/>
        <v>10</v>
      </c>
      <c r="F19" s="675">
        <v>43739</v>
      </c>
      <c r="G19" s="676">
        <v>0.73680000000000001</v>
      </c>
      <c r="H19" s="676">
        <v>4.2999999999999997E-2</v>
      </c>
      <c r="I19" s="1011">
        <f t="shared" si="6"/>
        <v>0.68</v>
      </c>
      <c r="J19" s="671" t="str">
        <f t="shared" ca="1" si="4"/>
        <v>Архив</v>
      </c>
      <c r="K19" s="677">
        <f t="shared" ca="1" si="2"/>
        <v>12</v>
      </c>
      <c r="L19" s="678">
        <f t="shared" si="7"/>
        <v>3</v>
      </c>
      <c r="M19" s="1000" t="str">
        <f t="shared" ca="1" si="3"/>
        <v xml:space="preserve"> </v>
      </c>
      <c r="N19" s="872"/>
      <c r="O19" s="808" t="str">
        <f>IF(F19&gt;F18," ","Требуется коррекция даты")</f>
        <v xml:space="preserve"> </v>
      </c>
      <c r="P19" s="660"/>
      <c r="Q19" s="373"/>
      <c r="R19" s="374"/>
      <c r="S19" s="765"/>
      <c r="T19" s="1186"/>
      <c r="U19" s="1186"/>
      <c r="V19" s="1186"/>
      <c r="W19" s="1186"/>
      <c r="X19" s="1187"/>
      <c r="Y19" s="1187"/>
      <c r="Z19" s="1187"/>
      <c r="AA19" s="1186"/>
      <c r="AB19" s="1186"/>
      <c r="AC19" s="1189"/>
      <c r="AD19" s="1197"/>
      <c r="AE19" s="1186"/>
      <c r="AF19" s="1186"/>
      <c r="AG19" s="1186"/>
      <c r="AH19" s="1186"/>
      <c r="AI19" s="1186"/>
      <c r="AJ19" s="1186"/>
      <c r="AK19" s="1186"/>
      <c r="AL19" s="1186"/>
      <c r="AM19" s="1190"/>
      <c r="AN19" s="1191">
        <v>2023</v>
      </c>
      <c r="AO19" s="1200">
        <v>2025</v>
      </c>
      <c r="AP19" s="1189"/>
      <c r="AQ19" s="1186"/>
      <c r="AR19" s="1199"/>
      <c r="AS19" s="742"/>
      <c r="AT19" s="742"/>
      <c r="AU19" s="742"/>
      <c r="AV19" s="742"/>
      <c r="AW19" s="742"/>
      <c r="AX19" s="742"/>
      <c r="AY19" s="742"/>
      <c r="AZ19" s="738"/>
    </row>
    <row r="20" spans="1:16330" s="355" customFormat="1" ht="12.75" x14ac:dyDescent="0.2">
      <c r="A20" s="792"/>
      <c r="B20" s="732"/>
      <c r="C20" s="387" t="str">
        <f t="shared" ca="1" si="0"/>
        <v xml:space="preserve"> </v>
      </c>
      <c r="D20" s="379" t="str">
        <f t="shared" ca="1" si="1"/>
        <v xml:space="preserve"> </v>
      </c>
      <c r="E20" s="674">
        <f t="shared" si="5"/>
        <v>11</v>
      </c>
      <c r="F20" s="675">
        <v>44105</v>
      </c>
      <c r="G20" s="676">
        <v>0.73680000000000001</v>
      </c>
      <c r="H20" s="676">
        <v>0.03</v>
      </c>
      <c r="I20" s="1011">
        <f t="shared" si="6"/>
        <v>0.70000000000000007</v>
      </c>
      <c r="J20" s="671" t="str">
        <f t="shared" ca="1" si="4"/>
        <v>Архив</v>
      </c>
      <c r="K20" s="677">
        <f t="shared" ca="1" si="2"/>
        <v>12</v>
      </c>
      <c r="L20" s="678">
        <f t="shared" si="7"/>
        <v>4</v>
      </c>
      <c r="M20" s="1000" t="str">
        <f t="shared" ca="1" si="3"/>
        <v xml:space="preserve"> </v>
      </c>
      <c r="N20" s="872"/>
      <c r="O20" s="808" t="str">
        <f>IF(Z20=0," ",IF(Z20 = 1, $AA$4,IF(Z20 = 2,$AA$5,$AA$6)))</f>
        <v xml:space="preserve"> </v>
      </c>
      <c r="P20" s="660"/>
      <c r="Q20" s="373"/>
      <c r="R20" s="374"/>
      <c r="S20" s="765"/>
      <c r="T20" s="1186"/>
      <c r="U20" s="1186"/>
      <c r="V20" s="1186"/>
      <c r="W20" s="1186"/>
      <c r="X20" s="1187">
        <f t="shared" ref="X20:X25" si="8">IF(F20&gt;F19,0,1)</f>
        <v>0</v>
      </c>
      <c r="Y20" s="1187">
        <f t="shared" ref="Y20:Y25" si="9">IF(G20 &lt;G19,2,0)</f>
        <v>0</v>
      </c>
      <c r="Z20" s="1187">
        <f>X20+Y20</f>
        <v>0</v>
      </c>
      <c r="AA20" s="1186"/>
      <c r="AB20" s="1186"/>
      <c r="AC20" s="1214"/>
      <c r="AD20" s="1214"/>
      <c r="AE20" s="1214"/>
      <c r="AF20" s="1186"/>
      <c r="AG20" s="1186"/>
      <c r="AH20" s="1186"/>
      <c r="AI20" s="1186"/>
      <c r="AJ20" s="1186"/>
      <c r="AK20" s="1186"/>
      <c r="AL20" s="1186"/>
      <c r="AM20" s="1190"/>
      <c r="AN20" s="1215">
        <v>77</v>
      </c>
      <c r="AO20" s="1216">
        <v>80</v>
      </c>
      <c r="AP20" s="1189"/>
      <c r="AQ20" s="1186"/>
      <c r="AR20" s="1199"/>
      <c r="AS20" s="742"/>
      <c r="AT20" s="742"/>
      <c r="AU20" s="742"/>
      <c r="AV20" s="742"/>
      <c r="AW20" s="742"/>
      <c r="AX20" s="742"/>
      <c r="AY20" s="742"/>
      <c r="AZ20" s="738"/>
    </row>
    <row r="21" spans="1:16330" s="355" customFormat="1" ht="12.75" x14ac:dyDescent="0.2">
      <c r="A21" s="792">
        <v>0.12</v>
      </c>
      <c r="B21" s="732"/>
      <c r="C21" s="387" t="str">
        <f t="shared" ca="1" si="0"/>
        <v xml:space="preserve"> </v>
      </c>
      <c r="D21" s="379" t="str">
        <f t="shared" ca="1" si="1"/>
        <v xml:space="preserve"> </v>
      </c>
      <c r="E21" s="674">
        <f t="shared" si="5"/>
        <v>12</v>
      </c>
      <c r="F21" s="675">
        <v>44470</v>
      </c>
      <c r="G21" s="676">
        <v>0.73680000000000001</v>
      </c>
      <c r="H21" s="676">
        <v>3.6999999999999998E-2</v>
      </c>
      <c r="I21" s="1011">
        <f t="shared" si="6"/>
        <v>0.72</v>
      </c>
      <c r="J21" s="671" t="str">
        <f t="shared" ref="J21:J25" ca="1" si="10">IF(F21&lt;=$F$8,IF(F22&gt;$F$8,"&lt;===","Архив"),"Прогноз")</f>
        <v>Архив</v>
      </c>
      <c r="K21" s="677">
        <f t="shared" ca="1" si="2"/>
        <v>3</v>
      </c>
      <c r="L21" s="678">
        <f t="shared" si="7"/>
        <v>5</v>
      </c>
      <c r="M21" s="1000" t="str">
        <f t="shared" ca="1" si="3"/>
        <v xml:space="preserve"> </v>
      </c>
      <c r="N21" s="872"/>
      <c r="O21" s="808" t="str">
        <f t="shared" ref="O21:O25" si="11">IF(Z21=0," ",IF(Z21 = 1, $AA$4,IF(Z21 = 2,$AA$5,$AA$6)))</f>
        <v xml:space="preserve"> </v>
      </c>
      <c r="P21" s="663"/>
      <c r="Q21" s="373"/>
      <c r="R21" s="374"/>
      <c r="S21" s="765"/>
      <c r="T21" s="1186"/>
      <c r="U21" s="1186"/>
      <c r="V21" s="1186"/>
      <c r="W21" s="1186"/>
      <c r="X21" s="1187">
        <f t="shared" si="8"/>
        <v>0</v>
      </c>
      <c r="Y21" s="1187">
        <f t="shared" si="9"/>
        <v>0</v>
      </c>
      <c r="Z21" s="1187">
        <f t="shared" ref="Z21:Z25" si="12">X21+Y21</f>
        <v>0</v>
      </c>
      <c r="AA21" s="1186"/>
      <c r="AB21" s="1186"/>
      <c r="AC21" s="1214"/>
      <c r="AD21" s="1214"/>
      <c r="AE21" s="1214"/>
      <c r="AF21" s="1186"/>
      <c r="AG21" s="1186"/>
      <c r="AH21" s="1186"/>
      <c r="AI21" s="1186"/>
      <c r="AJ21" s="1186"/>
      <c r="AK21" s="1186"/>
      <c r="AL21" s="1186"/>
      <c r="AM21" s="1190"/>
      <c r="AN21" s="1215">
        <v>0.41</v>
      </c>
      <c r="AO21" s="1216">
        <v>0</v>
      </c>
      <c r="AP21" s="1189"/>
      <c r="AQ21" s="1186"/>
      <c r="AR21" s="1199"/>
      <c r="AS21" s="742"/>
      <c r="AT21" s="742"/>
      <c r="AU21" s="742"/>
      <c r="AV21" s="742"/>
      <c r="AW21" s="742"/>
      <c r="AX21" s="742"/>
      <c r="AY21" s="742"/>
      <c r="AZ21" s="738"/>
    </row>
    <row r="22" spans="1:16330" s="355" customFormat="1" ht="12.75" x14ac:dyDescent="0.2">
      <c r="A22" s="792">
        <v>7</v>
      </c>
      <c r="B22" s="732"/>
      <c r="C22" s="387" t="str">
        <f t="shared" ref="C22:C25" ca="1" si="13">IF(D22="===&gt;",$C$7," ")</f>
        <v xml:space="preserve"> </v>
      </c>
      <c r="D22" s="379" t="str">
        <f t="shared" ref="D22:D25" ca="1" si="14">IF(AND($C$7&gt;=F22,F23=""),"===&gt;",IF(AND($C$7&gt;=F22,$C$7&lt;F23),"===&gt;"," "))</f>
        <v xml:space="preserve"> </v>
      </c>
      <c r="E22" s="674">
        <f t="shared" ref="E22:E26" si="15">E21+1</f>
        <v>13</v>
      </c>
      <c r="F22" s="679">
        <v>44562</v>
      </c>
      <c r="G22" s="676">
        <v>0.74</v>
      </c>
      <c r="H22" s="680"/>
      <c r="I22" s="1011">
        <f t="shared" ref="I22:I25" si="16">IF(YEAR(F22)&gt;2035,1,(YEAR(F22)-2012)*0.02+0.54)</f>
        <v>0.74</v>
      </c>
      <c r="J22" s="671" t="str">
        <f t="shared" ca="1" si="10"/>
        <v>&lt;===</v>
      </c>
      <c r="K22" s="677">
        <f ca="1">IF(J22="Прогноз","",IF(J22&lt;&gt;"&lt;===",DATEDIF(F22,F24,"m"),DATEDIF(F22,TODAY(),"m")+1))</f>
        <v>4</v>
      </c>
      <c r="L22" s="678">
        <f>IF(E22&gt;1,IF(H22="",L21,L21+1),1)</f>
        <v>5</v>
      </c>
      <c r="M22" s="1000">
        <f t="shared" ref="M22:M25" ca="1" si="17">IF(J22="&lt;===",TODAY()," ")</f>
        <v>44664</v>
      </c>
      <c r="N22" s="872">
        <v>8.5999999999999993E-2</v>
      </c>
      <c r="O22" s="808" t="str">
        <f t="shared" si="11"/>
        <v xml:space="preserve"> </v>
      </c>
      <c r="P22" s="663"/>
      <c r="Q22" s="373"/>
      <c r="R22" s="374"/>
      <c r="S22" s="765"/>
      <c r="T22" s="1186"/>
      <c r="U22" s="1186"/>
      <c r="V22" s="1186"/>
      <c r="W22" s="1186"/>
      <c r="X22" s="1187">
        <f t="shared" si="8"/>
        <v>0</v>
      </c>
      <c r="Y22" s="1187">
        <f t="shared" si="9"/>
        <v>0</v>
      </c>
      <c r="Z22" s="1187">
        <f t="shared" si="12"/>
        <v>0</v>
      </c>
      <c r="AA22" s="1186"/>
      <c r="AB22" s="1186"/>
      <c r="AC22" s="1189"/>
      <c r="AD22" s="1186"/>
      <c r="AE22" s="1186"/>
      <c r="AF22" s="1186"/>
      <c r="AG22" s="1186"/>
      <c r="AH22" s="1186"/>
      <c r="AI22" s="1186"/>
      <c r="AJ22" s="1186"/>
      <c r="AK22" s="1186"/>
      <c r="AL22" s="1186"/>
      <c r="AM22" s="1190"/>
      <c r="AN22" s="1215">
        <v>4</v>
      </c>
      <c r="AO22" s="1216">
        <v>0</v>
      </c>
      <c r="AP22" s="1189"/>
      <c r="AQ22" s="1186"/>
      <c r="AR22" s="1199"/>
      <c r="AS22" s="742"/>
      <c r="AT22" s="742"/>
      <c r="AU22" s="742"/>
      <c r="AV22" s="742"/>
      <c r="AW22" s="742"/>
      <c r="AX22" s="742"/>
      <c r="AY22" s="742"/>
      <c r="AZ22" s="738"/>
    </row>
    <row r="23" spans="1:16330" s="355" customFormat="1" ht="12.75" x14ac:dyDescent="0.2">
      <c r="A23" s="792">
        <v>0.05</v>
      </c>
      <c r="B23" s="732"/>
      <c r="C23" s="387" t="str">
        <f t="shared" ca="1" si="13"/>
        <v xml:space="preserve"> </v>
      </c>
      <c r="D23" s="379" t="str">
        <f t="shared" ca="1" si="14"/>
        <v xml:space="preserve"> </v>
      </c>
      <c r="E23" s="674">
        <f t="shared" si="15"/>
        <v>14</v>
      </c>
      <c r="F23" s="679">
        <v>44835</v>
      </c>
      <c r="G23" s="676">
        <v>0.77410000000000001</v>
      </c>
      <c r="H23" s="680">
        <v>0.04</v>
      </c>
      <c r="I23" s="1011">
        <f t="shared" si="16"/>
        <v>0.74</v>
      </c>
      <c r="J23" s="671" t="str">
        <f t="shared" ca="1" si="10"/>
        <v>Прогноз</v>
      </c>
      <c r="K23" s="677" t="str">
        <f ca="1">IF(J23="Прогноз","",IF(J23&lt;&gt;"&lt;===",DATEDIF(F23,F28,"m"),DATEDIF(F23,TODAY(),"m")+1))</f>
        <v/>
      </c>
      <c r="L23" s="678">
        <f t="shared" ref="L23:L25" si="18">IF(E23&gt;1,IF(H23="",L22,L22+1),1)</f>
        <v>6</v>
      </c>
      <c r="M23" s="1000" t="str">
        <f t="shared" ca="1" si="17"/>
        <v xml:space="preserve"> </v>
      </c>
      <c r="N23" s="872"/>
      <c r="O23" s="808" t="str">
        <f t="shared" si="11"/>
        <v xml:space="preserve"> </v>
      </c>
      <c r="P23" s="663"/>
      <c r="Q23" s="373"/>
      <c r="R23" s="374"/>
      <c r="S23" s="765"/>
      <c r="T23" s="1186"/>
      <c r="U23" s="1186"/>
      <c r="V23" s="1186"/>
      <c r="W23" s="1186"/>
      <c r="X23" s="1187">
        <f t="shared" si="8"/>
        <v>0</v>
      </c>
      <c r="Y23" s="1187">
        <f t="shared" si="9"/>
        <v>0</v>
      </c>
      <c r="Z23" s="1187">
        <f t="shared" si="12"/>
        <v>0</v>
      </c>
      <c r="AA23" s="1186"/>
      <c r="AB23" s="1186"/>
      <c r="AC23" s="1189"/>
      <c r="AD23" s="1186"/>
      <c r="AE23" s="1186"/>
      <c r="AF23" s="1186"/>
      <c r="AG23" s="1186"/>
      <c r="AH23" s="1186"/>
      <c r="AI23" s="1186"/>
      <c r="AJ23" s="1186"/>
      <c r="AK23" s="1186"/>
      <c r="AL23" s="1186"/>
      <c r="AM23" s="1190"/>
      <c r="AN23" s="1215">
        <v>0</v>
      </c>
      <c r="AO23" s="1216">
        <v>0</v>
      </c>
      <c r="AP23" s="1189"/>
      <c r="AQ23" s="1186"/>
      <c r="AR23" s="1199"/>
      <c r="AS23" s="742"/>
      <c r="AT23" s="742"/>
      <c r="AU23" s="742"/>
      <c r="AV23" s="742"/>
      <c r="AW23" s="742"/>
      <c r="AX23" s="742"/>
      <c r="AY23" s="742"/>
      <c r="AZ23" s="738"/>
    </row>
    <row r="24" spans="1:16330" s="355" customFormat="1" ht="12.75" x14ac:dyDescent="0.2">
      <c r="A24" s="792"/>
      <c r="B24" s="732"/>
      <c r="C24" s="387" t="str">
        <f t="shared" ca="1" si="13"/>
        <v xml:space="preserve"> </v>
      </c>
      <c r="D24" s="379" t="str">
        <f t="shared" ca="1" si="14"/>
        <v xml:space="preserve"> </v>
      </c>
      <c r="E24" s="674">
        <f t="shared" si="15"/>
        <v>15</v>
      </c>
      <c r="F24" s="679">
        <v>45200</v>
      </c>
      <c r="G24" s="676">
        <v>0.77410000000000001</v>
      </c>
      <c r="H24" s="680">
        <v>0.04</v>
      </c>
      <c r="I24" s="1011">
        <f t="shared" si="16"/>
        <v>0.76</v>
      </c>
      <c r="J24" s="671" t="str">
        <f t="shared" ca="1" si="10"/>
        <v>Прогноз</v>
      </c>
      <c r="K24" s="677" t="str">
        <f ca="1">IF(J24="Прогноз","",IF(J24&lt;&gt;"&lt;===",DATEDIF(F24,F29,"m"),DATEDIF(F24,TODAY(),"m")+1))</f>
        <v/>
      </c>
      <c r="L24" s="678">
        <f t="shared" si="18"/>
        <v>7</v>
      </c>
      <c r="M24" s="1000" t="str">
        <f t="shared" ca="1" si="17"/>
        <v xml:space="preserve"> </v>
      </c>
      <c r="N24" s="872"/>
      <c r="O24" s="808" t="str">
        <f t="shared" si="11"/>
        <v xml:space="preserve"> </v>
      </c>
      <c r="P24" s="663"/>
      <c r="Q24" s="373"/>
      <c r="R24" s="374"/>
      <c r="S24" s="765"/>
      <c r="T24" s="1186"/>
      <c r="U24" s="1186"/>
      <c r="V24" s="1186"/>
      <c r="W24" s="1186"/>
      <c r="X24" s="1187">
        <f t="shared" si="8"/>
        <v>0</v>
      </c>
      <c r="Y24" s="1187">
        <f t="shared" si="9"/>
        <v>0</v>
      </c>
      <c r="Z24" s="1187">
        <f t="shared" si="12"/>
        <v>0</v>
      </c>
      <c r="AA24" s="1186"/>
      <c r="AB24" s="1186"/>
      <c r="AC24" s="1189"/>
      <c r="AD24" s="1186"/>
      <c r="AE24" s="1186"/>
      <c r="AF24" s="1186"/>
      <c r="AG24" s="1186"/>
      <c r="AH24" s="1186"/>
      <c r="AI24" s="1186"/>
      <c r="AJ24" s="1186"/>
      <c r="AK24" s="1186"/>
      <c r="AL24" s="1186"/>
      <c r="AM24" s="1190"/>
      <c r="AN24" s="1215">
        <v>0</v>
      </c>
      <c r="AO24" s="1216">
        <v>0</v>
      </c>
      <c r="AP24" s="1189"/>
      <c r="AQ24" s="1186"/>
      <c r="AR24" s="1199"/>
      <c r="AS24" s="742"/>
      <c r="AT24" s="742"/>
      <c r="AU24" s="742"/>
      <c r="AV24" s="742"/>
      <c r="AW24" s="742"/>
      <c r="AX24" s="742"/>
      <c r="AY24" s="742"/>
      <c r="AZ24" s="738"/>
    </row>
    <row r="25" spans="1:16330" s="355" customFormat="1" ht="12.75" x14ac:dyDescent="0.2">
      <c r="A25" s="792"/>
      <c r="B25" s="732"/>
      <c r="C25" s="387" t="str">
        <f t="shared" ca="1" si="13"/>
        <v xml:space="preserve"> </v>
      </c>
      <c r="D25" s="379" t="str">
        <f t="shared" ca="1" si="14"/>
        <v xml:space="preserve"> </v>
      </c>
      <c r="E25" s="674">
        <f t="shared" si="15"/>
        <v>16</v>
      </c>
      <c r="F25" s="679">
        <v>45292</v>
      </c>
      <c r="G25" s="676">
        <v>0.78</v>
      </c>
      <c r="H25" s="680" t="s">
        <v>286</v>
      </c>
      <c r="I25" s="1011">
        <f t="shared" si="16"/>
        <v>0.78</v>
      </c>
      <c r="J25" s="671" t="str">
        <f t="shared" ca="1" si="10"/>
        <v>Прогноз</v>
      </c>
      <c r="K25" s="677" t="str">
        <f ca="1">IF(J25="Прогноз","",IF(J25&lt;&gt;"&lt;===",DATEDIF(F25,#REF!,"m"),DATEDIF(F25,TODAY(),"m")+1))</f>
        <v/>
      </c>
      <c r="L25" s="678">
        <f t="shared" si="18"/>
        <v>7</v>
      </c>
      <c r="M25" s="1000" t="str">
        <f t="shared" ca="1" si="17"/>
        <v xml:space="preserve"> </v>
      </c>
      <c r="N25" s="872"/>
      <c r="O25" s="808" t="str">
        <f t="shared" si="11"/>
        <v xml:space="preserve"> </v>
      </c>
      <c r="P25" s="663"/>
      <c r="Q25" s="373"/>
      <c r="R25" s="374"/>
      <c r="S25" s="765"/>
      <c r="T25" s="1186"/>
      <c r="U25" s="1186"/>
      <c r="V25" s="1186"/>
      <c r="W25" s="1186"/>
      <c r="X25" s="1187">
        <f t="shared" si="8"/>
        <v>0</v>
      </c>
      <c r="Y25" s="1187">
        <f t="shared" si="9"/>
        <v>0</v>
      </c>
      <c r="Z25" s="1187">
        <f t="shared" si="12"/>
        <v>0</v>
      </c>
      <c r="AA25" s="1186"/>
      <c r="AB25" s="1186"/>
      <c r="AC25" s="1189"/>
      <c r="AD25" s="1186"/>
      <c r="AE25" s="1186"/>
      <c r="AF25" s="1186"/>
      <c r="AG25" s="1186"/>
      <c r="AH25" s="1186"/>
      <c r="AI25" s="1186"/>
      <c r="AJ25" s="1186"/>
      <c r="AK25" s="1186"/>
      <c r="AL25" s="1186"/>
      <c r="AM25" s="1190"/>
      <c r="AN25" s="1215">
        <v>0</v>
      </c>
      <c r="AO25" s="1216">
        <v>0</v>
      </c>
      <c r="AP25" s="1189"/>
      <c r="AQ25" s="1186"/>
      <c r="AR25" s="1199"/>
      <c r="AS25" s="742"/>
      <c r="AT25" s="742"/>
      <c r="AU25" s="742"/>
      <c r="AV25" s="742"/>
      <c r="AW25" s="742"/>
      <c r="AX25" s="742"/>
      <c r="AY25" s="742"/>
      <c r="AZ25" s="738"/>
    </row>
    <row r="26" spans="1:16330" s="355" customFormat="1" ht="12.75" x14ac:dyDescent="0.2">
      <c r="A26" s="792"/>
      <c r="B26" s="732"/>
      <c r="C26" s="387" t="str">
        <f t="shared" ref="C26" ca="1" si="19">IF(D26="===&gt;",$C$7," ")</f>
        <v xml:space="preserve"> </v>
      </c>
      <c r="D26" s="379" t="str">
        <f t="shared" ref="D26" ca="1" si="20">IF(AND($C$7&gt;=F26,F27=""),"===&gt;",IF(AND($C$7&gt;=F26,$C$7&lt;F27),"===&gt;"," "))</f>
        <v xml:space="preserve"> </v>
      </c>
      <c r="E26" s="674">
        <f t="shared" si="15"/>
        <v>17</v>
      </c>
      <c r="F26" s="679">
        <v>45566</v>
      </c>
      <c r="G26" s="676">
        <v>0.78</v>
      </c>
      <c r="H26" s="680">
        <v>0.04</v>
      </c>
      <c r="I26" s="1011">
        <f t="shared" ref="I26" si="21">IF(YEAR(F26)&gt;2035,1,(YEAR(F26)-2012)*0.02+0.54)</f>
        <v>0.78</v>
      </c>
      <c r="J26" s="671" t="str">
        <f t="shared" ref="J26" ca="1" si="22">IF(F26&lt;=$F$8,IF(F27&gt;$F$8,"&lt;===","Архив"),"Прогноз")</f>
        <v>Прогноз</v>
      </c>
      <c r="K26" s="677" t="str">
        <f ca="1">IF(J26="Прогноз","",IF(J26&lt;&gt;"&lt;===",DATEDIF(F26,#REF!,"m"),DATEDIF(F26,TODAY(),"m")+1))</f>
        <v/>
      </c>
      <c r="L26" s="678">
        <f t="shared" ref="L26" si="23">IF(E26&gt;1,IF(H26="",L25,L25+1),1)</f>
        <v>8</v>
      </c>
      <c r="M26" s="1000" t="str">
        <f t="shared" ref="M26" ca="1" si="24">IF(J26="&lt;===",TODAY()," ")</f>
        <v xml:space="preserve"> </v>
      </c>
      <c r="N26" s="872"/>
      <c r="O26" s="808" t="str">
        <f t="shared" ref="O26" si="25">IF(Z26=0," ",IF(Z26 = 1, $AA$4,IF(Z26 = 2,$AA$5,$AA$6)))</f>
        <v xml:space="preserve"> </v>
      </c>
      <c r="P26" s="663"/>
      <c r="Q26" s="373"/>
      <c r="R26" s="374"/>
      <c r="S26" s="765"/>
      <c r="T26" s="1186"/>
      <c r="U26" s="1186"/>
      <c r="V26" s="1186"/>
      <c r="W26" s="1186"/>
      <c r="X26" s="1187">
        <f t="shared" ref="X26" si="26">IF(F26&gt;F25,0,1)</f>
        <v>0</v>
      </c>
      <c r="Y26" s="1187">
        <f t="shared" ref="Y26" si="27">IF(G26 &lt;G25,2,0)</f>
        <v>0</v>
      </c>
      <c r="Z26" s="1187">
        <f t="shared" ref="Z26" si="28">X26+Y26</f>
        <v>0</v>
      </c>
      <c r="AA26" s="1186"/>
      <c r="AB26" s="1186"/>
      <c r="AC26" s="1189"/>
      <c r="AD26" s="1186"/>
      <c r="AE26" s="1186"/>
      <c r="AF26" s="1186"/>
      <c r="AG26" s="1186"/>
      <c r="AH26" s="1186"/>
      <c r="AI26" s="1186"/>
      <c r="AJ26" s="1186"/>
      <c r="AK26" s="1186"/>
      <c r="AL26" s="1186"/>
      <c r="AM26" s="1190"/>
      <c r="AN26" s="1215">
        <v>0</v>
      </c>
      <c r="AO26" s="1216">
        <v>0</v>
      </c>
      <c r="AP26" s="1189"/>
      <c r="AQ26" s="1186"/>
      <c r="AR26" s="1199"/>
      <c r="AS26" s="742"/>
      <c r="AT26" s="742"/>
      <c r="AU26" s="742"/>
      <c r="AV26" s="742"/>
      <c r="AW26" s="742"/>
      <c r="AX26" s="742"/>
      <c r="AY26" s="742"/>
      <c r="AZ26" s="738"/>
    </row>
    <row r="27" spans="1:16330" s="355" customFormat="1" ht="12.75" x14ac:dyDescent="0.2">
      <c r="A27" s="792"/>
      <c r="B27" s="732"/>
      <c r="C27" s="387"/>
      <c r="D27" s="379"/>
      <c r="E27" s="681"/>
      <c r="F27" s="682"/>
      <c r="G27" s="683"/>
      <c r="H27" s="684"/>
      <c r="I27" s="1012"/>
      <c r="J27" s="685"/>
      <c r="K27" s="686"/>
      <c r="L27" s="687"/>
      <c r="M27" s="1160"/>
      <c r="N27" s="995"/>
      <c r="O27" s="809"/>
      <c r="P27" s="665"/>
      <c r="Q27" s="373"/>
      <c r="R27" s="374"/>
      <c r="S27" s="765"/>
      <c r="T27" s="1186"/>
      <c r="U27" s="1186"/>
      <c r="V27" s="1186"/>
      <c r="W27" s="1186"/>
      <c r="X27" s="1187"/>
      <c r="Y27" s="1187"/>
      <c r="Z27" s="1187"/>
      <c r="AA27" s="1186"/>
      <c r="AB27" s="1186"/>
      <c r="AC27" s="1189"/>
      <c r="AD27" s="1186"/>
      <c r="AE27" s="1186"/>
      <c r="AF27" s="1186"/>
      <c r="AG27" s="1186"/>
      <c r="AH27" s="1186"/>
      <c r="AI27" s="1186"/>
      <c r="AJ27" s="1186"/>
      <c r="AK27" s="1186"/>
      <c r="AL27" s="1186"/>
      <c r="AM27" s="1190"/>
      <c r="AN27" s="1198"/>
      <c r="AO27" s="1186"/>
      <c r="AP27" s="1186"/>
      <c r="AQ27" s="1186"/>
      <c r="AR27" s="1199"/>
      <c r="AS27" s="742"/>
      <c r="AT27" s="742"/>
      <c r="AU27" s="742"/>
      <c r="AV27" s="742"/>
      <c r="AW27" s="742"/>
      <c r="AX27" s="742"/>
      <c r="AY27" s="742"/>
      <c r="AZ27" s="738"/>
    </row>
    <row r="28" spans="1:16330" s="355" customFormat="1" ht="5.25" customHeight="1" thickBot="1" x14ac:dyDescent="0.25">
      <c r="A28" s="792"/>
      <c r="B28" s="697"/>
      <c r="C28" s="688"/>
      <c r="D28" s="689"/>
      <c r="E28" s="690"/>
      <c r="F28" s="691"/>
      <c r="G28" s="692"/>
      <c r="H28" s="693"/>
      <c r="I28" s="1013"/>
      <c r="J28" s="694"/>
      <c r="K28" s="695"/>
      <c r="L28" s="696"/>
      <c r="M28" s="1001" t="str">
        <f ca="1">IF(J28="&lt;===",TODAY()," ")</f>
        <v xml:space="preserve"> </v>
      </c>
      <c r="N28" s="873"/>
      <c r="O28" s="810"/>
      <c r="P28" s="664"/>
      <c r="Q28" s="373"/>
      <c r="R28" s="374"/>
      <c r="S28" s="766"/>
      <c r="T28" s="1186"/>
      <c r="U28" s="1186"/>
      <c r="V28" s="1186"/>
      <c r="W28" s="1186"/>
      <c r="X28" s="1187"/>
      <c r="Y28" s="1187"/>
      <c r="Z28" s="1187"/>
      <c r="AA28" s="1186"/>
      <c r="AB28" s="1186"/>
      <c r="AC28" s="1189"/>
      <c r="AD28" s="1186"/>
      <c r="AE28" s="1186"/>
      <c r="AF28" s="1186"/>
      <c r="AG28" s="1186"/>
      <c r="AH28" s="1186"/>
      <c r="AI28" s="1199"/>
      <c r="AJ28" s="1199"/>
      <c r="AK28" s="1199"/>
      <c r="AL28" s="1186"/>
      <c r="AM28" s="1190"/>
      <c r="AN28" s="1198"/>
      <c r="AO28" s="1186"/>
      <c r="AP28" s="1186"/>
      <c r="AQ28" s="1186"/>
      <c r="AR28" s="1199"/>
      <c r="AS28" s="742"/>
      <c r="AT28" s="742"/>
      <c r="AU28" s="742"/>
      <c r="AV28" s="742"/>
      <c r="AW28" s="742"/>
      <c r="AX28" s="742"/>
      <c r="AY28" s="742"/>
      <c r="AZ28" s="738"/>
    </row>
    <row r="29" spans="1:16330" s="355" customFormat="1" ht="9" customHeight="1" thickTop="1" x14ac:dyDescent="0.2">
      <c r="A29" s="792"/>
      <c r="B29" s="697"/>
      <c r="C29" s="372"/>
      <c r="D29" s="372"/>
      <c r="E29" s="389"/>
      <c r="F29" s="375"/>
      <c r="G29" s="375"/>
      <c r="H29" s="375"/>
      <c r="I29" s="390"/>
      <c r="J29" s="375"/>
      <c r="K29" s="375"/>
      <c r="L29" s="375"/>
      <c r="M29" s="375"/>
      <c r="N29" s="375"/>
      <c r="O29" s="375"/>
      <c r="P29" s="375"/>
      <c r="Q29" s="378"/>
      <c r="R29" s="379"/>
      <c r="S29" s="767"/>
      <c r="T29" s="1198"/>
      <c r="U29" s="1198"/>
      <c r="V29" s="1198"/>
      <c r="W29" s="1198"/>
      <c r="X29" s="1191"/>
      <c r="Y29" s="1191"/>
      <c r="Z29" s="1191"/>
      <c r="AA29" s="1198"/>
      <c r="AB29" s="1198"/>
      <c r="AC29" s="1189"/>
      <c r="AD29" s="1198"/>
      <c r="AE29" s="1198"/>
      <c r="AF29" s="1198"/>
      <c r="AG29" s="1198"/>
      <c r="AH29" s="1198"/>
      <c r="AI29" s="1205"/>
      <c r="AJ29" s="1205"/>
      <c r="AK29" s="1205"/>
      <c r="AL29" s="1198"/>
      <c r="AM29" s="1190"/>
      <c r="AN29" s="1198"/>
      <c r="AO29" s="1198"/>
      <c r="AP29" s="1198"/>
      <c r="AQ29" s="1198"/>
      <c r="AR29" s="1205"/>
      <c r="AS29" s="743"/>
      <c r="AT29" s="743"/>
      <c r="AU29" s="743"/>
      <c r="AV29" s="743"/>
      <c r="AW29" s="743"/>
      <c r="AX29" s="743"/>
      <c r="AY29" s="743"/>
      <c r="AZ29" s="739"/>
      <c r="BA29" s="388"/>
      <c r="BB29" s="388"/>
      <c r="BC29" s="388"/>
      <c r="BD29" s="388"/>
      <c r="BE29" s="388"/>
      <c r="BF29" s="388"/>
      <c r="BG29" s="388"/>
      <c r="BH29" s="388"/>
      <c r="BI29" s="388"/>
      <c r="BJ29" s="388"/>
      <c r="BK29" s="388"/>
      <c r="BL29" s="388"/>
      <c r="BM29" s="388"/>
      <c r="BN29" s="388"/>
      <c r="BO29" s="388"/>
      <c r="BP29" s="388"/>
      <c r="BQ29" s="388"/>
      <c r="BR29" s="388"/>
      <c r="BS29" s="388"/>
      <c r="BT29" s="388"/>
      <c r="BU29" s="388"/>
      <c r="BV29" s="388"/>
      <c r="BW29" s="388"/>
      <c r="BX29" s="388"/>
      <c r="BY29" s="388"/>
      <c r="BZ29" s="388"/>
      <c r="CA29" s="388"/>
      <c r="CB29" s="388"/>
      <c r="CC29" s="388"/>
      <c r="CD29" s="388"/>
      <c r="CE29" s="388"/>
      <c r="CF29" s="388"/>
      <c r="CG29" s="388"/>
      <c r="CH29" s="388"/>
      <c r="CI29" s="388"/>
      <c r="CJ29" s="388"/>
      <c r="CK29" s="388"/>
      <c r="CL29" s="388"/>
      <c r="CM29" s="388"/>
      <c r="CN29" s="388"/>
      <c r="CO29" s="388"/>
      <c r="CP29" s="388"/>
      <c r="CQ29" s="388"/>
      <c r="CR29" s="388"/>
      <c r="CS29" s="388"/>
      <c r="CT29" s="388"/>
      <c r="CU29" s="388"/>
      <c r="CV29" s="388"/>
      <c r="CW29" s="388"/>
      <c r="CX29" s="388"/>
      <c r="CY29" s="388"/>
      <c r="CZ29" s="388"/>
      <c r="DA29" s="388"/>
      <c r="DB29" s="388"/>
      <c r="DC29" s="388"/>
      <c r="DD29" s="388"/>
      <c r="DE29" s="388"/>
      <c r="DF29" s="388"/>
      <c r="DG29" s="388"/>
      <c r="DH29" s="388"/>
      <c r="DI29" s="388"/>
      <c r="DJ29" s="388"/>
      <c r="DK29" s="388"/>
      <c r="DL29" s="388"/>
      <c r="DM29" s="388"/>
      <c r="DN29" s="388"/>
      <c r="DO29" s="388"/>
      <c r="DP29" s="388"/>
      <c r="DQ29" s="388"/>
      <c r="DR29" s="388"/>
      <c r="DS29" s="388"/>
      <c r="DT29" s="388"/>
      <c r="DU29" s="388"/>
      <c r="DV29" s="388"/>
      <c r="DW29" s="388"/>
      <c r="DX29" s="388"/>
      <c r="DY29" s="388"/>
      <c r="DZ29" s="388"/>
      <c r="EA29" s="388"/>
      <c r="EB29" s="388"/>
      <c r="EC29" s="388"/>
      <c r="ED29" s="388"/>
      <c r="EE29" s="388"/>
      <c r="EF29" s="388"/>
      <c r="EG29" s="388"/>
      <c r="EH29" s="388"/>
      <c r="EI29" s="388"/>
      <c r="EJ29" s="388"/>
      <c r="EK29" s="388"/>
      <c r="EL29" s="388"/>
      <c r="EM29" s="388"/>
      <c r="EN29" s="388"/>
      <c r="EO29" s="388"/>
      <c r="EP29" s="388"/>
      <c r="EQ29" s="388"/>
      <c r="ER29" s="388"/>
      <c r="ES29" s="388"/>
      <c r="ET29" s="388"/>
      <c r="EU29" s="388"/>
      <c r="EV29" s="388"/>
      <c r="EW29" s="388"/>
      <c r="EX29" s="388"/>
      <c r="EY29" s="388"/>
      <c r="EZ29" s="388"/>
      <c r="FA29" s="388"/>
      <c r="FB29" s="388"/>
      <c r="FC29" s="388"/>
      <c r="FD29" s="388"/>
      <c r="FE29" s="388"/>
      <c r="FF29" s="388"/>
      <c r="FG29" s="388"/>
      <c r="FH29" s="388"/>
      <c r="FI29" s="388"/>
      <c r="FJ29" s="388"/>
      <c r="FK29" s="388"/>
      <c r="FL29" s="388"/>
      <c r="FM29" s="388"/>
      <c r="FN29" s="388"/>
      <c r="FO29" s="388"/>
      <c r="FP29" s="388"/>
      <c r="FQ29" s="388"/>
      <c r="FR29" s="388"/>
      <c r="FS29" s="388"/>
      <c r="FT29" s="388"/>
      <c r="FU29" s="388"/>
      <c r="FV29" s="388"/>
      <c r="FW29" s="388"/>
      <c r="FX29" s="388"/>
      <c r="FY29" s="388"/>
      <c r="FZ29" s="388"/>
      <c r="GA29" s="388"/>
      <c r="GB29" s="388"/>
      <c r="GC29" s="388"/>
      <c r="GD29" s="388"/>
      <c r="GE29" s="388"/>
      <c r="GF29" s="388"/>
      <c r="GG29" s="388"/>
      <c r="GH29" s="388"/>
      <c r="GI29" s="388"/>
      <c r="GJ29" s="388"/>
      <c r="GK29" s="388"/>
      <c r="GL29" s="388"/>
      <c r="GM29" s="388"/>
      <c r="GN29" s="388"/>
      <c r="GO29" s="388"/>
      <c r="GP29" s="388"/>
      <c r="GQ29" s="388"/>
      <c r="GR29" s="388"/>
      <c r="GS29" s="388"/>
      <c r="GT29" s="388"/>
      <c r="GU29" s="388"/>
      <c r="GV29" s="388"/>
      <c r="GW29" s="388"/>
      <c r="GX29" s="388"/>
      <c r="GY29" s="388"/>
      <c r="GZ29" s="388"/>
      <c r="HA29" s="388"/>
      <c r="HB29" s="388"/>
      <c r="HC29" s="388"/>
      <c r="HD29" s="388"/>
      <c r="HE29" s="388"/>
      <c r="HF29" s="388"/>
      <c r="HG29" s="388"/>
      <c r="HH29" s="388"/>
      <c r="HI29" s="388"/>
      <c r="HJ29" s="388"/>
      <c r="HK29" s="388"/>
      <c r="HL29" s="388"/>
      <c r="HM29" s="388"/>
      <c r="HN29" s="388"/>
      <c r="HO29" s="388"/>
      <c r="HP29" s="388"/>
      <c r="HQ29" s="388"/>
      <c r="HR29" s="388"/>
      <c r="HS29" s="388"/>
      <c r="HT29" s="388"/>
      <c r="HU29" s="388"/>
      <c r="HV29" s="388"/>
      <c r="HW29" s="388"/>
      <c r="HX29" s="388"/>
      <c r="HY29" s="388"/>
      <c r="HZ29" s="388"/>
      <c r="IA29" s="388"/>
      <c r="IB29" s="388"/>
      <c r="IC29" s="388"/>
      <c r="ID29" s="388"/>
      <c r="IE29" s="388"/>
      <c r="IF29" s="388"/>
      <c r="IG29" s="388"/>
      <c r="IH29" s="388"/>
      <c r="II29" s="388"/>
      <c r="IJ29" s="388"/>
      <c r="IK29" s="388"/>
      <c r="IL29" s="388"/>
      <c r="IM29" s="388"/>
      <c r="IN29" s="388"/>
      <c r="IO29" s="388"/>
      <c r="IP29" s="388"/>
      <c r="IQ29" s="388"/>
      <c r="IR29" s="388"/>
      <c r="IS29" s="388"/>
      <c r="IT29" s="388"/>
      <c r="IU29" s="388"/>
      <c r="IV29" s="388"/>
      <c r="IW29" s="388"/>
      <c r="IX29" s="388"/>
      <c r="IY29" s="388"/>
      <c r="IZ29" s="388"/>
      <c r="JA29" s="388"/>
      <c r="JB29" s="388"/>
      <c r="JC29" s="388"/>
      <c r="JD29" s="388"/>
      <c r="JE29" s="388"/>
      <c r="JF29" s="388"/>
      <c r="JG29" s="388"/>
      <c r="JH29" s="388"/>
      <c r="JI29" s="388"/>
      <c r="JJ29" s="388"/>
      <c r="JK29" s="388"/>
      <c r="JL29" s="388"/>
      <c r="JM29" s="388"/>
      <c r="JN29" s="388"/>
      <c r="JO29" s="388"/>
      <c r="JP29" s="388"/>
      <c r="JQ29" s="388"/>
      <c r="JR29" s="388"/>
      <c r="JS29" s="388"/>
      <c r="JT29" s="388"/>
      <c r="JU29" s="388"/>
      <c r="JV29" s="388"/>
      <c r="JW29" s="388"/>
      <c r="JX29" s="388"/>
      <c r="JY29" s="388"/>
      <c r="JZ29" s="388"/>
      <c r="KA29" s="388"/>
      <c r="KB29" s="388"/>
      <c r="KC29" s="388"/>
      <c r="KD29" s="388"/>
      <c r="KE29" s="388"/>
      <c r="KF29" s="388"/>
      <c r="KG29" s="388"/>
      <c r="KH29" s="388"/>
      <c r="KI29" s="388"/>
      <c r="KJ29" s="388"/>
      <c r="KK29" s="388"/>
      <c r="KL29" s="388"/>
      <c r="KM29" s="388"/>
      <c r="KN29" s="388"/>
      <c r="KO29" s="388"/>
      <c r="KP29" s="388"/>
      <c r="KQ29" s="388"/>
      <c r="KR29" s="388"/>
      <c r="KS29" s="388"/>
      <c r="KT29" s="388"/>
      <c r="KU29" s="388"/>
      <c r="KV29" s="388"/>
      <c r="KW29" s="388"/>
      <c r="KX29" s="388"/>
      <c r="KY29" s="388"/>
      <c r="KZ29" s="388"/>
      <c r="LA29" s="388"/>
      <c r="LB29" s="388"/>
      <c r="LC29" s="388"/>
      <c r="LD29" s="388"/>
      <c r="LE29" s="388"/>
      <c r="LF29" s="388"/>
      <c r="LG29" s="388"/>
      <c r="LH29" s="388"/>
      <c r="LI29" s="388"/>
      <c r="LJ29" s="388"/>
      <c r="LK29" s="388"/>
      <c r="LL29" s="388"/>
      <c r="LM29" s="388"/>
      <c r="LN29" s="388"/>
      <c r="LO29" s="388"/>
      <c r="LP29" s="388"/>
      <c r="LQ29" s="388"/>
      <c r="LR29" s="388"/>
      <c r="LS29" s="388"/>
      <c r="LT29" s="388"/>
      <c r="LU29" s="388"/>
      <c r="LV29" s="388"/>
      <c r="LW29" s="388"/>
      <c r="LX29" s="388"/>
      <c r="LY29" s="388"/>
      <c r="LZ29" s="388"/>
      <c r="MA29" s="388"/>
      <c r="MB29" s="388"/>
      <c r="MC29" s="388"/>
      <c r="MD29" s="388"/>
      <c r="ME29" s="388"/>
      <c r="MF29" s="388"/>
      <c r="MG29" s="388"/>
      <c r="MH29" s="388"/>
      <c r="MI29" s="388"/>
      <c r="MJ29" s="388"/>
      <c r="MK29" s="388"/>
      <c r="ML29" s="388"/>
      <c r="MM29" s="388"/>
      <c r="MN29" s="388"/>
      <c r="MO29" s="388"/>
      <c r="MP29" s="388"/>
      <c r="MQ29" s="388"/>
      <c r="MR29" s="388"/>
      <c r="MS29" s="388"/>
      <c r="MT29" s="388"/>
      <c r="MU29" s="388"/>
      <c r="MV29" s="388"/>
      <c r="MW29" s="388"/>
      <c r="MX29" s="388"/>
      <c r="MY29" s="388"/>
      <c r="MZ29" s="388"/>
      <c r="NA29" s="388"/>
      <c r="NB29" s="388"/>
      <c r="NC29" s="388"/>
      <c r="ND29" s="388"/>
      <c r="NE29" s="388"/>
      <c r="NF29" s="388"/>
      <c r="NG29" s="388"/>
      <c r="NH29" s="388"/>
      <c r="NI29" s="388"/>
      <c r="NJ29" s="388"/>
      <c r="NK29" s="388"/>
      <c r="NL29" s="388"/>
      <c r="NM29" s="388"/>
      <c r="NN29" s="388"/>
      <c r="NO29" s="388"/>
      <c r="NP29" s="388"/>
      <c r="NQ29" s="388"/>
      <c r="NR29" s="388"/>
      <c r="NS29" s="388"/>
      <c r="NT29" s="388"/>
      <c r="NU29" s="388"/>
      <c r="NV29" s="388"/>
      <c r="NW29" s="388"/>
      <c r="NX29" s="388"/>
      <c r="NY29" s="388"/>
      <c r="NZ29" s="388"/>
      <c r="OA29" s="388"/>
      <c r="OB29" s="388"/>
      <c r="OC29" s="388"/>
      <c r="OD29" s="388"/>
      <c r="OE29" s="388"/>
      <c r="OF29" s="388"/>
      <c r="OG29" s="388"/>
      <c r="OH29" s="388"/>
      <c r="OI29" s="388"/>
      <c r="OJ29" s="388"/>
      <c r="OK29" s="388"/>
      <c r="OL29" s="388"/>
      <c r="OM29" s="388"/>
      <c r="ON29" s="388"/>
      <c r="OO29" s="388"/>
      <c r="OP29" s="388"/>
      <c r="OQ29" s="388"/>
      <c r="OR29" s="388"/>
      <c r="OS29" s="388"/>
      <c r="OT29" s="388"/>
      <c r="OU29" s="388"/>
      <c r="OV29" s="388"/>
      <c r="OW29" s="388"/>
      <c r="OX29" s="388"/>
      <c r="OY29" s="388"/>
      <c r="OZ29" s="388"/>
      <c r="PA29" s="388"/>
      <c r="PB29" s="388"/>
      <c r="PC29" s="388"/>
      <c r="PD29" s="388"/>
      <c r="PE29" s="388"/>
      <c r="PF29" s="388"/>
      <c r="PG29" s="388"/>
      <c r="PH29" s="388"/>
      <c r="PI29" s="388"/>
      <c r="PJ29" s="388"/>
      <c r="PK29" s="388"/>
      <c r="PL29" s="388"/>
      <c r="PM29" s="388"/>
      <c r="PN29" s="388"/>
      <c r="PO29" s="388"/>
      <c r="PP29" s="388"/>
      <c r="PQ29" s="388"/>
      <c r="PR29" s="388"/>
      <c r="PS29" s="388"/>
      <c r="PT29" s="388"/>
      <c r="PU29" s="388"/>
      <c r="PV29" s="388"/>
      <c r="PW29" s="388"/>
      <c r="PX29" s="388"/>
      <c r="PY29" s="388"/>
      <c r="PZ29" s="388"/>
      <c r="QA29" s="388"/>
      <c r="QB29" s="388"/>
      <c r="QC29" s="388"/>
      <c r="QD29" s="388"/>
      <c r="QE29" s="388"/>
      <c r="QF29" s="388"/>
      <c r="QG29" s="388"/>
      <c r="QH29" s="388"/>
      <c r="QI29" s="388"/>
      <c r="QJ29" s="388"/>
      <c r="QK29" s="388"/>
      <c r="QL29" s="388"/>
      <c r="QM29" s="388"/>
      <c r="QN29" s="388"/>
      <c r="QO29" s="388"/>
      <c r="QP29" s="388"/>
      <c r="QQ29" s="388"/>
      <c r="QR29" s="388"/>
      <c r="QS29" s="388"/>
      <c r="QT29" s="388"/>
      <c r="QU29" s="388"/>
      <c r="QV29" s="388"/>
      <c r="QW29" s="388"/>
      <c r="QX29" s="388"/>
      <c r="QY29" s="388"/>
      <c r="QZ29" s="388"/>
      <c r="RA29" s="388"/>
      <c r="RB29" s="388"/>
      <c r="RC29" s="388"/>
      <c r="RD29" s="388"/>
      <c r="RE29" s="388"/>
      <c r="RF29" s="388"/>
      <c r="RG29" s="388"/>
      <c r="RH29" s="388"/>
      <c r="RI29" s="388"/>
      <c r="RJ29" s="388"/>
      <c r="RK29" s="388"/>
      <c r="RL29" s="388"/>
      <c r="RM29" s="388"/>
      <c r="RN29" s="388"/>
      <c r="RO29" s="388"/>
      <c r="RP29" s="388"/>
      <c r="RQ29" s="388"/>
      <c r="RR29" s="388"/>
      <c r="RS29" s="388"/>
      <c r="RT29" s="388"/>
      <c r="RU29" s="388"/>
      <c r="RV29" s="388"/>
      <c r="RW29" s="388"/>
      <c r="RX29" s="388"/>
      <c r="RY29" s="388"/>
      <c r="RZ29" s="388"/>
      <c r="SA29" s="388"/>
      <c r="SB29" s="388"/>
      <c r="SC29" s="388"/>
      <c r="SD29" s="388"/>
      <c r="SE29" s="388"/>
      <c r="SF29" s="388"/>
      <c r="SG29" s="388"/>
      <c r="SH29" s="388"/>
      <c r="SI29" s="388"/>
      <c r="SJ29" s="388"/>
      <c r="SK29" s="388"/>
      <c r="SL29" s="388"/>
      <c r="SM29" s="388"/>
      <c r="SN29" s="388"/>
      <c r="SO29" s="388"/>
      <c r="SP29" s="388"/>
      <c r="SQ29" s="388"/>
      <c r="SR29" s="388"/>
      <c r="SS29" s="388"/>
      <c r="ST29" s="388"/>
      <c r="SU29" s="388"/>
      <c r="SV29" s="388"/>
      <c r="SW29" s="388"/>
      <c r="SX29" s="388"/>
      <c r="SY29" s="388"/>
      <c r="SZ29" s="388"/>
      <c r="TA29" s="388"/>
      <c r="TB29" s="388"/>
      <c r="TC29" s="388"/>
      <c r="TD29" s="388"/>
      <c r="TE29" s="388"/>
      <c r="TF29" s="388"/>
      <c r="TG29" s="388"/>
      <c r="TH29" s="388"/>
      <c r="TI29" s="388"/>
      <c r="TJ29" s="388"/>
      <c r="TK29" s="388"/>
      <c r="TL29" s="388"/>
      <c r="TM29" s="388"/>
      <c r="TN29" s="388"/>
      <c r="TO29" s="388"/>
      <c r="TP29" s="388"/>
      <c r="TQ29" s="388"/>
      <c r="TR29" s="388"/>
      <c r="TS29" s="388"/>
      <c r="TT29" s="388"/>
      <c r="TU29" s="388"/>
      <c r="TV29" s="388"/>
      <c r="TW29" s="388"/>
      <c r="TX29" s="388"/>
      <c r="TY29" s="388"/>
      <c r="TZ29" s="388"/>
      <c r="UA29" s="388"/>
      <c r="UB29" s="388"/>
      <c r="UC29" s="388"/>
      <c r="UD29" s="388"/>
      <c r="UE29" s="388"/>
      <c r="UF29" s="388"/>
      <c r="UG29" s="388"/>
      <c r="UH29" s="388"/>
      <c r="UI29" s="388"/>
      <c r="UJ29" s="388"/>
      <c r="UK29" s="388"/>
      <c r="UL29" s="388"/>
      <c r="UM29" s="388"/>
      <c r="UN29" s="388"/>
      <c r="UO29" s="388"/>
      <c r="UP29" s="388"/>
      <c r="UQ29" s="388"/>
      <c r="UR29" s="388"/>
      <c r="US29" s="388"/>
      <c r="UT29" s="388"/>
      <c r="UU29" s="388"/>
      <c r="UV29" s="388"/>
      <c r="UW29" s="388"/>
      <c r="UX29" s="388"/>
      <c r="UY29" s="388"/>
      <c r="UZ29" s="388"/>
      <c r="VA29" s="388"/>
      <c r="VB29" s="388"/>
      <c r="VC29" s="388"/>
      <c r="VD29" s="388"/>
      <c r="VE29" s="388"/>
      <c r="VF29" s="388"/>
      <c r="VG29" s="388"/>
      <c r="VH29" s="388"/>
      <c r="VI29" s="388"/>
      <c r="VJ29" s="388"/>
      <c r="VK29" s="388"/>
      <c r="VL29" s="388"/>
      <c r="VM29" s="388"/>
      <c r="VN29" s="388"/>
      <c r="VO29" s="388"/>
      <c r="VP29" s="388"/>
      <c r="VQ29" s="388"/>
      <c r="VR29" s="388"/>
      <c r="VS29" s="388"/>
      <c r="VT29" s="388"/>
      <c r="VU29" s="388"/>
      <c r="VV29" s="388"/>
      <c r="VW29" s="388"/>
      <c r="VX29" s="388"/>
      <c r="VY29" s="388"/>
      <c r="VZ29" s="388"/>
      <c r="WA29" s="388"/>
      <c r="WB29" s="388"/>
      <c r="WC29" s="388"/>
      <c r="WD29" s="388"/>
      <c r="WE29" s="388"/>
      <c r="WF29" s="388"/>
      <c r="WG29" s="388"/>
      <c r="WH29" s="388"/>
      <c r="WI29" s="388"/>
      <c r="WJ29" s="388"/>
      <c r="WK29" s="388"/>
      <c r="WL29" s="388"/>
      <c r="WM29" s="388"/>
      <c r="WN29" s="388"/>
      <c r="WO29" s="388"/>
      <c r="WP29" s="388"/>
      <c r="WQ29" s="388"/>
      <c r="WR29" s="388"/>
      <c r="WS29" s="388"/>
      <c r="WT29" s="388"/>
      <c r="WU29" s="388"/>
      <c r="WV29" s="388"/>
      <c r="WW29" s="388"/>
      <c r="WX29" s="388"/>
      <c r="WY29" s="388"/>
      <c r="WZ29" s="388"/>
      <c r="XA29" s="388"/>
      <c r="XB29" s="388"/>
      <c r="XC29" s="388"/>
      <c r="XD29" s="388"/>
      <c r="XE29" s="388"/>
      <c r="XF29" s="388"/>
      <c r="XG29" s="388"/>
      <c r="XH29" s="388"/>
      <c r="XI29" s="388"/>
      <c r="XJ29" s="388"/>
      <c r="XK29" s="388"/>
      <c r="XL29" s="388"/>
      <c r="XM29" s="388"/>
      <c r="XN29" s="388"/>
      <c r="XO29" s="388"/>
      <c r="XP29" s="388"/>
      <c r="XQ29" s="388"/>
      <c r="XR29" s="388"/>
      <c r="XS29" s="388"/>
      <c r="XT29" s="388"/>
      <c r="XU29" s="388"/>
      <c r="XV29" s="388"/>
      <c r="XW29" s="388"/>
      <c r="XX29" s="388"/>
      <c r="XY29" s="388"/>
      <c r="XZ29" s="388"/>
      <c r="YA29" s="388"/>
      <c r="YB29" s="388"/>
      <c r="YC29" s="388"/>
      <c r="YD29" s="388"/>
      <c r="YE29" s="388"/>
      <c r="YF29" s="388"/>
      <c r="YG29" s="388"/>
      <c r="YH29" s="388"/>
      <c r="YI29" s="388"/>
      <c r="YJ29" s="388"/>
      <c r="YK29" s="388"/>
      <c r="YL29" s="388"/>
      <c r="YM29" s="388"/>
      <c r="YN29" s="388"/>
      <c r="YO29" s="388"/>
      <c r="YP29" s="388"/>
      <c r="YQ29" s="388"/>
      <c r="YR29" s="388"/>
      <c r="YS29" s="388"/>
      <c r="YT29" s="388"/>
      <c r="YU29" s="388"/>
      <c r="YV29" s="388"/>
      <c r="YW29" s="388"/>
      <c r="YX29" s="388"/>
      <c r="YY29" s="388"/>
      <c r="YZ29" s="388"/>
      <c r="ZA29" s="388"/>
      <c r="ZB29" s="388"/>
      <c r="ZC29" s="388"/>
      <c r="ZD29" s="388"/>
      <c r="ZE29" s="388"/>
      <c r="ZF29" s="388"/>
      <c r="ZG29" s="388"/>
      <c r="ZH29" s="388"/>
      <c r="ZI29" s="388"/>
      <c r="ZJ29" s="388"/>
      <c r="ZK29" s="388"/>
      <c r="ZL29" s="388"/>
      <c r="ZM29" s="388"/>
      <c r="ZN29" s="388"/>
      <c r="ZO29" s="388"/>
      <c r="ZP29" s="388"/>
      <c r="ZQ29" s="388"/>
      <c r="ZR29" s="388"/>
      <c r="ZS29" s="388"/>
      <c r="ZT29" s="388"/>
      <c r="ZU29" s="388"/>
      <c r="ZV29" s="388"/>
      <c r="ZW29" s="388"/>
      <c r="ZX29" s="388"/>
      <c r="ZY29" s="388"/>
      <c r="ZZ29" s="388"/>
      <c r="AAA29" s="388"/>
      <c r="AAB29" s="388"/>
      <c r="AAC29" s="388"/>
      <c r="AAD29" s="388"/>
      <c r="AAE29" s="388"/>
      <c r="AAF29" s="388"/>
      <c r="AAG29" s="388"/>
      <c r="AAH29" s="388"/>
      <c r="AAI29" s="388"/>
      <c r="AAJ29" s="388"/>
      <c r="AAK29" s="388"/>
      <c r="AAL29" s="388"/>
      <c r="AAM29" s="388"/>
      <c r="AAN29" s="388"/>
      <c r="AAO29" s="388"/>
      <c r="AAP29" s="388"/>
      <c r="AAQ29" s="388"/>
      <c r="AAR29" s="388"/>
      <c r="AAS29" s="388"/>
      <c r="AAT29" s="388"/>
      <c r="AAU29" s="388"/>
      <c r="AAV29" s="388"/>
      <c r="AAW29" s="388"/>
      <c r="AAX29" s="388"/>
      <c r="AAY29" s="388"/>
      <c r="AAZ29" s="388"/>
      <c r="ABA29" s="388"/>
      <c r="ABB29" s="388"/>
      <c r="ABC29" s="388"/>
      <c r="ABD29" s="388"/>
      <c r="ABE29" s="388"/>
      <c r="ABF29" s="388"/>
      <c r="ABG29" s="388"/>
      <c r="ABH29" s="388"/>
      <c r="ABI29" s="388"/>
      <c r="ABJ29" s="388"/>
      <c r="ABK29" s="388"/>
      <c r="ABL29" s="388"/>
      <c r="ABM29" s="388"/>
      <c r="ABN29" s="388"/>
      <c r="ABO29" s="388"/>
      <c r="ABP29" s="388"/>
      <c r="ABQ29" s="388"/>
      <c r="ABR29" s="388"/>
      <c r="ABS29" s="388"/>
      <c r="ABT29" s="388"/>
      <c r="ABU29" s="388"/>
      <c r="ABV29" s="388"/>
      <c r="ABW29" s="388"/>
      <c r="ABX29" s="388"/>
      <c r="ABY29" s="388"/>
      <c r="ABZ29" s="388"/>
      <c r="ACA29" s="388"/>
      <c r="ACB29" s="388"/>
      <c r="ACC29" s="388"/>
      <c r="ACD29" s="388"/>
      <c r="ACE29" s="388"/>
      <c r="ACF29" s="388"/>
      <c r="ACG29" s="388"/>
      <c r="ACH29" s="388"/>
      <c r="ACI29" s="388"/>
      <c r="ACJ29" s="388"/>
      <c r="ACK29" s="388"/>
      <c r="ACL29" s="388"/>
      <c r="ACM29" s="388"/>
      <c r="ACN29" s="388"/>
      <c r="ACO29" s="388"/>
      <c r="ACP29" s="388"/>
      <c r="ACQ29" s="388"/>
      <c r="ACR29" s="388"/>
      <c r="ACS29" s="388"/>
      <c r="ACT29" s="388"/>
      <c r="ACU29" s="388"/>
      <c r="ACV29" s="388"/>
      <c r="ACW29" s="388"/>
      <c r="ACX29" s="388"/>
      <c r="ACY29" s="388"/>
      <c r="ACZ29" s="388"/>
      <c r="ADA29" s="388"/>
      <c r="ADB29" s="388"/>
      <c r="ADC29" s="388"/>
      <c r="ADD29" s="388"/>
      <c r="ADE29" s="388"/>
      <c r="ADF29" s="388"/>
      <c r="ADG29" s="388"/>
      <c r="ADH29" s="388"/>
      <c r="ADI29" s="388"/>
      <c r="ADJ29" s="388"/>
      <c r="ADK29" s="388"/>
      <c r="ADL29" s="388"/>
      <c r="ADM29" s="388"/>
      <c r="ADN29" s="388"/>
      <c r="ADO29" s="388"/>
      <c r="ADP29" s="388"/>
      <c r="ADQ29" s="388"/>
      <c r="ADR29" s="388"/>
      <c r="ADS29" s="388"/>
      <c r="ADT29" s="388"/>
      <c r="ADU29" s="388"/>
      <c r="ADV29" s="388"/>
      <c r="ADW29" s="388"/>
      <c r="ADX29" s="388"/>
      <c r="ADY29" s="388"/>
      <c r="ADZ29" s="388"/>
      <c r="AEA29" s="388"/>
      <c r="AEB29" s="388"/>
      <c r="AEC29" s="388"/>
      <c r="AED29" s="388"/>
      <c r="AEE29" s="388"/>
      <c r="AEF29" s="388"/>
      <c r="AEG29" s="388"/>
      <c r="AEH29" s="388"/>
      <c r="AEI29" s="388"/>
      <c r="AEJ29" s="388"/>
      <c r="AEK29" s="388"/>
      <c r="AEL29" s="388"/>
      <c r="AEM29" s="388"/>
      <c r="AEN29" s="388"/>
      <c r="AEO29" s="388"/>
      <c r="AEP29" s="388"/>
      <c r="AEQ29" s="388"/>
      <c r="AER29" s="388"/>
      <c r="AES29" s="388"/>
      <c r="AET29" s="388"/>
      <c r="AEU29" s="388"/>
      <c r="AEV29" s="388"/>
      <c r="AEW29" s="388"/>
      <c r="AEX29" s="388"/>
      <c r="AEY29" s="388"/>
      <c r="AEZ29" s="388"/>
      <c r="AFA29" s="388"/>
      <c r="AFB29" s="388"/>
      <c r="AFC29" s="388"/>
      <c r="AFD29" s="388"/>
      <c r="AFE29" s="388"/>
      <c r="AFF29" s="388"/>
      <c r="AFG29" s="388"/>
      <c r="AFH29" s="388"/>
      <c r="AFI29" s="388"/>
      <c r="AFJ29" s="388"/>
      <c r="AFK29" s="388"/>
      <c r="AFL29" s="388"/>
      <c r="AFM29" s="388"/>
      <c r="AFN29" s="388"/>
      <c r="AFO29" s="388"/>
      <c r="AFP29" s="388"/>
      <c r="AFQ29" s="388"/>
      <c r="AFR29" s="388"/>
      <c r="AFS29" s="388"/>
      <c r="AFT29" s="388"/>
      <c r="AFU29" s="388"/>
      <c r="AFV29" s="388"/>
      <c r="AFW29" s="388"/>
      <c r="AFX29" s="388"/>
      <c r="AFY29" s="388"/>
      <c r="AFZ29" s="388"/>
      <c r="AGA29" s="388"/>
      <c r="AGB29" s="388"/>
      <c r="AGC29" s="388"/>
      <c r="AGD29" s="388"/>
      <c r="AGE29" s="388"/>
      <c r="AGF29" s="388"/>
      <c r="AGG29" s="388"/>
      <c r="AGH29" s="388"/>
      <c r="AGI29" s="388"/>
      <c r="AGJ29" s="388"/>
      <c r="AGK29" s="388"/>
      <c r="AGL29" s="388"/>
      <c r="AGM29" s="388"/>
      <c r="AGN29" s="388"/>
      <c r="AGO29" s="388"/>
      <c r="AGP29" s="388"/>
      <c r="AGQ29" s="388"/>
      <c r="AGR29" s="388"/>
      <c r="AGS29" s="388"/>
      <c r="AGT29" s="388"/>
      <c r="AGU29" s="388"/>
      <c r="AGV29" s="388"/>
      <c r="AGW29" s="388"/>
      <c r="AGX29" s="388"/>
      <c r="AGY29" s="388"/>
      <c r="AGZ29" s="388"/>
      <c r="AHA29" s="388"/>
      <c r="AHB29" s="388"/>
      <c r="AHC29" s="388"/>
      <c r="AHD29" s="388"/>
      <c r="AHE29" s="388"/>
      <c r="AHF29" s="388"/>
      <c r="AHG29" s="388"/>
      <c r="AHH29" s="388"/>
      <c r="AHI29" s="388"/>
      <c r="AHJ29" s="388"/>
      <c r="AHK29" s="388"/>
      <c r="AHL29" s="388"/>
      <c r="AHM29" s="388"/>
      <c r="AHN29" s="388"/>
      <c r="AHO29" s="388"/>
      <c r="AHP29" s="388"/>
      <c r="AHQ29" s="388"/>
      <c r="AHR29" s="388"/>
      <c r="AHS29" s="388"/>
      <c r="AHT29" s="388"/>
      <c r="AHU29" s="388"/>
      <c r="AHV29" s="388"/>
      <c r="AHW29" s="388"/>
      <c r="AHX29" s="388"/>
      <c r="AHY29" s="388"/>
      <c r="AHZ29" s="388"/>
      <c r="AIA29" s="388"/>
      <c r="AIB29" s="388"/>
      <c r="AIC29" s="388"/>
      <c r="AID29" s="388"/>
      <c r="AIE29" s="388"/>
      <c r="AIF29" s="388"/>
      <c r="AIG29" s="388"/>
      <c r="AIH29" s="388"/>
      <c r="AII29" s="388"/>
      <c r="AIJ29" s="388"/>
      <c r="AIK29" s="388"/>
      <c r="AIL29" s="388"/>
      <c r="AIM29" s="388"/>
      <c r="AIN29" s="388"/>
      <c r="AIO29" s="388"/>
      <c r="AIP29" s="388"/>
      <c r="AIQ29" s="388"/>
      <c r="AIR29" s="388"/>
      <c r="AIS29" s="388"/>
      <c r="AIT29" s="388"/>
      <c r="AIU29" s="388"/>
      <c r="AIV29" s="388"/>
      <c r="AIW29" s="388"/>
      <c r="AIX29" s="388"/>
      <c r="AIY29" s="388"/>
      <c r="AIZ29" s="388"/>
      <c r="AJA29" s="388"/>
      <c r="AJB29" s="388"/>
      <c r="AJC29" s="388"/>
      <c r="AJD29" s="388"/>
      <c r="AJE29" s="388"/>
      <c r="AJF29" s="388"/>
      <c r="AJG29" s="388"/>
      <c r="AJH29" s="388"/>
      <c r="AJI29" s="388"/>
      <c r="AJJ29" s="388"/>
      <c r="AJK29" s="388"/>
      <c r="AJL29" s="388"/>
      <c r="AJM29" s="388"/>
      <c r="AJN29" s="388"/>
      <c r="AJO29" s="388"/>
      <c r="AJP29" s="388"/>
      <c r="AJQ29" s="388"/>
      <c r="AJR29" s="388"/>
      <c r="AJS29" s="388"/>
      <c r="AJT29" s="388"/>
      <c r="AJU29" s="388"/>
      <c r="AJV29" s="388"/>
      <c r="AJW29" s="388"/>
      <c r="AJX29" s="388"/>
      <c r="AJY29" s="388"/>
      <c r="AJZ29" s="388"/>
      <c r="AKA29" s="388"/>
      <c r="AKB29" s="388"/>
      <c r="AKC29" s="388"/>
      <c r="AKD29" s="388"/>
      <c r="AKE29" s="388"/>
      <c r="AKF29" s="388"/>
      <c r="AKG29" s="388"/>
      <c r="AKH29" s="388"/>
      <c r="AKI29" s="388"/>
      <c r="AKJ29" s="388"/>
      <c r="AKK29" s="388"/>
      <c r="AKL29" s="388"/>
      <c r="AKM29" s="388"/>
      <c r="AKN29" s="388"/>
      <c r="AKO29" s="388"/>
      <c r="AKP29" s="388"/>
      <c r="AKQ29" s="388"/>
      <c r="AKR29" s="388"/>
      <c r="AKS29" s="388"/>
      <c r="AKT29" s="388"/>
      <c r="AKU29" s="388"/>
      <c r="AKV29" s="388"/>
      <c r="AKW29" s="388"/>
      <c r="AKX29" s="388"/>
      <c r="AKY29" s="388"/>
      <c r="AKZ29" s="388"/>
      <c r="ALA29" s="388"/>
      <c r="ALB29" s="388"/>
      <c r="ALC29" s="388"/>
      <c r="ALD29" s="388"/>
      <c r="ALE29" s="388"/>
      <c r="ALF29" s="388"/>
      <c r="ALG29" s="388"/>
      <c r="ALH29" s="388"/>
      <c r="ALI29" s="388"/>
      <c r="ALJ29" s="388"/>
      <c r="ALK29" s="388"/>
      <c r="ALL29" s="388"/>
      <c r="ALM29" s="388"/>
      <c r="ALN29" s="388"/>
      <c r="ALO29" s="388"/>
      <c r="ALP29" s="388"/>
      <c r="ALQ29" s="388"/>
      <c r="ALR29" s="388"/>
      <c r="ALS29" s="388"/>
      <c r="ALT29" s="388"/>
      <c r="ALU29" s="388"/>
      <c r="ALV29" s="388"/>
      <c r="ALW29" s="388"/>
      <c r="ALX29" s="388"/>
      <c r="ALY29" s="388"/>
      <c r="ALZ29" s="388"/>
      <c r="AMA29" s="388"/>
      <c r="AMB29" s="388"/>
      <c r="AMC29" s="388"/>
      <c r="AMD29" s="388"/>
      <c r="AME29" s="388"/>
      <c r="AMF29" s="388"/>
      <c r="AMG29" s="388"/>
      <c r="AMH29" s="388"/>
      <c r="AMI29" s="388"/>
      <c r="AMJ29" s="388"/>
      <c r="AMK29" s="388"/>
      <c r="AML29" s="388"/>
      <c r="AMM29" s="388"/>
      <c r="AMN29" s="388"/>
      <c r="AMO29" s="388"/>
      <c r="AMP29" s="388"/>
      <c r="AMQ29" s="388"/>
      <c r="AMR29" s="388"/>
      <c r="AMS29" s="388"/>
      <c r="AMT29" s="388"/>
      <c r="AMU29" s="388"/>
      <c r="AMV29" s="388"/>
      <c r="AMW29" s="388"/>
      <c r="AMX29" s="388"/>
      <c r="AMY29" s="388"/>
      <c r="AMZ29" s="388"/>
      <c r="ANA29" s="388"/>
      <c r="ANB29" s="388"/>
      <c r="ANC29" s="388"/>
      <c r="AND29" s="388"/>
      <c r="ANE29" s="388"/>
      <c r="ANF29" s="388"/>
      <c r="ANG29" s="388"/>
      <c r="ANH29" s="388"/>
      <c r="ANI29" s="388"/>
      <c r="ANJ29" s="388"/>
      <c r="ANK29" s="388"/>
      <c r="ANL29" s="388"/>
      <c r="ANM29" s="388"/>
      <c r="ANN29" s="388"/>
      <c r="ANO29" s="388"/>
      <c r="ANP29" s="388"/>
      <c r="ANQ29" s="388"/>
      <c r="ANR29" s="388"/>
      <c r="ANS29" s="388"/>
      <c r="ANT29" s="388"/>
      <c r="ANU29" s="388"/>
      <c r="ANV29" s="388"/>
      <c r="ANW29" s="388"/>
      <c r="ANX29" s="388"/>
      <c r="ANY29" s="388"/>
      <c r="ANZ29" s="388"/>
      <c r="AOA29" s="388"/>
      <c r="AOB29" s="388"/>
      <c r="AOC29" s="388"/>
      <c r="AOD29" s="388"/>
      <c r="AOE29" s="388"/>
      <c r="AOF29" s="388"/>
      <c r="AOG29" s="388"/>
      <c r="AOH29" s="388"/>
      <c r="AOI29" s="388"/>
      <c r="AOJ29" s="388"/>
      <c r="AOK29" s="388"/>
      <c r="AOL29" s="388"/>
      <c r="AOM29" s="388"/>
      <c r="AON29" s="388"/>
      <c r="AOO29" s="388"/>
      <c r="AOP29" s="388"/>
      <c r="AOQ29" s="388"/>
      <c r="AOR29" s="388"/>
      <c r="AOS29" s="388"/>
      <c r="AOT29" s="388"/>
      <c r="AOU29" s="388"/>
      <c r="AOV29" s="388"/>
      <c r="AOW29" s="388"/>
      <c r="AOX29" s="388"/>
      <c r="AOY29" s="388"/>
      <c r="AOZ29" s="388"/>
      <c r="APA29" s="388"/>
      <c r="APB29" s="388"/>
      <c r="APC29" s="388"/>
      <c r="APD29" s="388"/>
      <c r="APE29" s="388"/>
      <c r="APF29" s="388"/>
      <c r="APG29" s="388"/>
      <c r="APH29" s="388"/>
      <c r="API29" s="388"/>
      <c r="APJ29" s="388"/>
      <c r="APK29" s="388"/>
      <c r="APL29" s="388"/>
      <c r="APM29" s="388"/>
      <c r="APN29" s="388"/>
      <c r="APO29" s="388"/>
      <c r="APP29" s="388"/>
      <c r="APQ29" s="388"/>
      <c r="APR29" s="388"/>
      <c r="APS29" s="388"/>
      <c r="APT29" s="388"/>
      <c r="APU29" s="388"/>
      <c r="APV29" s="388"/>
      <c r="APW29" s="388"/>
      <c r="APX29" s="388"/>
      <c r="APY29" s="388"/>
      <c r="APZ29" s="388"/>
      <c r="AQA29" s="388"/>
      <c r="AQB29" s="388"/>
      <c r="AQC29" s="388"/>
      <c r="AQD29" s="388"/>
      <c r="AQE29" s="388"/>
      <c r="AQF29" s="388"/>
      <c r="AQG29" s="388"/>
      <c r="AQH29" s="388"/>
      <c r="AQI29" s="388"/>
      <c r="AQJ29" s="388"/>
      <c r="AQK29" s="388"/>
      <c r="AQL29" s="388"/>
      <c r="AQM29" s="388"/>
      <c r="AQN29" s="388"/>
      <c r="AQO29" s="388"/>
      <c r="AQP29" s="388"/>
      <c r="AQQ29" s="388"/>
      <c r="AQR29" s="388"/>
      <c r="AQS29" s="388"/>
      <c r="AQT29" s="388"/>
      <c r="AQU29" s="388"/>
      <c r="AQV29" s="388"/>
      <c r="AQW29" s="388"/>
      <c r="AQX29" s="388"/>
      <c r="AQY29" s="388"/>
      <c r="AQZ29" s="388"/>
      <c r="ARA29" s="388"/>
      <c r="ARB29" s="388"/>
      <c r="ARC29" s="388"/>
      <c r="ARD29" s="388"/>
      <c r="ARE29" s="388"/>
      <c r="ARF29" s="388"/>
      <c r="ARG29" s="388"/>
      <c r="ARH29" s="388"/>
      <c r="ARI29" s="388"/>
      <c r="ARJ29" s="388"/>
      <c r="ARK29" s="388"/>
      <c r="ARL29" s="388"/>
      <c r="ARM29" s="388"/>
      <c r="ARN29" s="388"/>
      <c r="ARO29" s="388"/>
      <c r="ARP29" s="388"/>
      <c r="ARQ29" s="388"/>
      <c r="ARR29" s="388"/>
      <c r="ARS29" s="388"/>
      <c r="ART29" s="388"/>
      <c r="ARU29" s="388"/>
      <c r="ARV29" s="388"/>
      <c r="ARW29" s="388"/>
      <c r="ARX29" s="388"/>
      <c r="ARY29" s="388"/>
      <c r="ARZ29" s="388"/>
      <c r="ASA29" s="388"/>
      <c r="ASB29" s="388"/>
      <c r="ASC29" s="388"/>
      <c r="ASD29" s="388"/>
      <c r="ASE29" s="388"/>
      <c r="ASF29" s="388"/>
      <c r="ASG29" s="388"/>
      <c r="ASH29" s="388"/>
      <c r="ASI29" s="388"/>
      <c r="ASJ29" s="388"/>
      <c r="ASK29" s="388"/>
      <c r="ASL29" s="388"/>
      <c r="ASM29" s="388"/>
      <c r="ASN29" s="388"/>
      <c r="ASO29" s="388"/>
      <c r="ASP29" s="388"/>
      <c r="ASQ29" s="388"/>
      <c r="ASR29" s="388"/>
      <c r="ASS29" s="388"/>
      <c r="AST29" s="388"/>
      <c r="ASU29" s="388"/>
      <c r="ASV29" s="388"/>
      <c r="ASW29" s="388"/>
      <c r="ASX29" s="388"/>
      <c r="ASY29" s="388"/>
      <c r="ASZ29" s="388"/>
      <c r="ATA29" s="388"/>
      <c r="ATB29" s="388"/>
      <c r="ATC29" s="388"/>
      <c r="ATD29" s="388"/>
      <c r="ATE29" s="388"/>
      <c r="ATF29" s="388"/>
      <c r="ATG29" s="388"/>
      <c r="ATH29" s="388"/>
      <c r="ATI29" s="388"/>
      <c r="ATJ29" s="388"/>
      <c r="ATK29" s="388"/>
      <c r="ATL29" s="388"/>
      <c r="ATM29" s="388"/>
      <c r="ATN29" s="388"/>
      <c r="ATO29" s="388"/>
      <c r="ATP29" s="388"/>
      <c r="ATQ29" s="388"/>
      <c r="ATR29" s="388"/>
      <c r="ATS29" s="388"/>
      <c r="ATT29" s="388"/>
      <c r="ATU29" s="388"/>
      <c r="ATV29" s="388"/>
      <c r="ATW29" s="388"/>
      <c r="ATX29" s="388"/>
      <c r="ATY29" s="388"/>
      <c r="ATZ29" s="388"/>
      <c r="AUA29" s="388"/>
      <c r="AUB29" s="388"/>
      <c r="AUC29" s="388"/>
      <c r="AUD29" s="388"/>
      <c r="AUE29" s="388"/>
      <c r="AUF29" s="388"/>
      <c r="AUG29" s="388"/>
      <c r="AUH29" s="388"/>
      <c r="AUI29" s="388"/>
      <c r="AUJ29" s="388"/>
      <c r="AUK29" s="388"/>
      <c r="AUL29" s="388"/>
      <c r="AUM29" s="388"/>
      <c r="AUN29" s="388"/>
      <c r="AUO29" s="388"/>
      <c r="AUP29" s="388"/>
      <c r="AUQ29" s="388"/>
      <c r="AUR29" s="388"/>
      <c r="AUS29" s="388"/>
      <c r="AUT29" s="388"/>
      <c r="AUU29" s="388"/>
      <c r="AUV29" s="388"/>
      <c r="AUW29" s="388"/>
      <c r="AUX29" s="388"/>
      <c r="AUY29" s="388"/>
      <c r="AUZ29" s="388"/>
      <c r="AVA29" s="388"/>
      <c r="AVB29" s="388"/>
      <c r="AVC29" s="388"/>
      <c r="AVD29" s="388"/>
      <c r="AVE29" s="388"/>
      <c r="AVF29" s="388"/>
      <c r="AVG29" s="388"/>
      <c r="AVH29" s="388"/>
      <c r="AVI29" s="388"/>
      <c r="AVJ29" s="388"/>
      <c r="AVK29" s="388"/>
      <c r="AVL29" s="388"/>
      <c r="AVM29" s="388"/>
      <c r="AVN29" s="388"/>
      <c r="AVO29" s="388"/>
      <c r="AVP29" s="388"/>
      <c r="AVQ29" s="388"/>
      <c r="AVR29" s="388"/>
      <c r="AVS29" s="388"/>
      <c r="AVT29" s="388"/>
      <c r="AVU29" s="388"/>
      <c r="AVV29" s="388"/>
      <c r="AVW29" s="388"/>
      <c r="AVX29" s="388"/>
      <c r="AVY29" s="388"/>
      <c r="AVZ29" s="388"/>
      <c r="AWA29" s="388"/>
      <c r="AWB29" s="388"/>
      <c r="AWC29" s="388"/>
      <c r="AWD29" s="388"/>
      <c r="AWE29" s="388"/>
      <c r="AWF29" s="388"/>
      <c r="AWG29" s="388"/>
      <c r="AWH29" s="388"/>
      <c r="AWI29" s="388"/>
      <c r="AWJ29" s="388"/>
      <c r="AWK29" s="388"/>
      <c r="AWL29" s="388"/>
      <c r="AWM29" s="388"/>
      <c r="AWN29" s="388"/>
      <c r="AWO29" s="388"/>
      <c r="AWP29" s="388"/>
      <c r="AWQ29" s="388"/>
      <c r="AWR29" s="388"/>
      <c r="AWS29" s="388"/>
      <c r="AWT29" s="388"/>
      <c r="AWU29" s="388"/>
      <c r="AWV29" s="388"/>
      <c r="AWW29" s="388"/>
      <c r="AWX29" s="388"/>
      <c r="AWY29" s="388"/>
      <c r="AWZ29" s="388"/>
      <c r="AXA29" s="388"/>
      <c r="AXB29" s="388"/>
      <c r="AXC29" s="388"/>
      <c r="AXD29" s="388"/>
      <c r="AXE29" s="388"/>
      <c r="AXF29" s="388"/>
      <c r="AXG29" s="388"/>
      <c r="AXH29" s="388"/>
      <c r="AXI29" s="388"/>
      <c r="AXJ29" s="388"/>
      <c r="AXK29" s="388"/>
      <c r="AXL29" s="388"/>
      <c r="AXM29" s="388"/>
      <c r="AXN29" s="388"/>
      <c r="AXO29" s="388"/>
      <c r="AXP29" s="388"/>
      <c r="AXQ29" s="388"/>
      <c r="AXR29" s="388"/>
      <c r="AXS29" s="388"/>
      <c r="AXT29" s="388"/>
      <c r="AXU29" s="388"/>
      <c r="AXV29" s="388"/>
      <c r="AXW29" s="388"/>
      <c r="AXX29" s="388"/>
      <c r="AXY29" s="388"/>
      <c r="AXZ29" s="388"/>
      <c r="AYA29" s="388"/>
      <c r="AYB29" s="388"/>
      <c r="AYC29" s="388"/>
      <c r="AYD29" s="388"/>
      <c r="AYE29" s="388"/>
      <c r="AYF29" s="388"/>
      <c r="AYG29" s="388"/>
      <c r="AYH29" s="388"/>
      <c r="AYI29" s="388"/>
      <c r="AYJ29" s="388"/>
      <c r="AYK29" s="388"/>
      <c r="AYL29" s="388"/>
      <c r="AYM29" s="388"/>
      <c r="AYN29" s="388"/>
      <c r="AYO29" s="388"/>
      <c r="AYP29" s="388"/>
      <c r="AYQ29" s="388"/>
      <c r="AYR29" s="388"/>
      <c r="AYS29" s="388"/>
      <c r="AYT29" s="388"/>
      <c r="AYU29" s="388"/>
      <c r="AYV29" s="388"/>
      <c r="AYW29" s="388"/>
      <c r="AYX29" s="388"/>
      <c r="AYY29" s="388"/>
      <c r="AYZ29" s="388"/>
      <c r="AZA29" s="388"/>
      <c r="AZB29" s="388"/>
      <c r="AZC29" s="388"/>
      <c r="AZD29" s="388"/>
      <c r="AZE29" s="388"/>
      <c r="AZF29" s="388"/>
      <c r="AZG29" s="388"/>
      <c r="AZH29" s="388"/>
      <c r="AZI29" s="388"/>
      <c r="AZJ29" s="388"/>
      <c r="AZK29" s="388"/>
      <c r="AZL29" s="388"/>
      <c r="AZM29" s="388"/>
      <c r="AZN29" s="388"/>
      <c r="AZO29" s="388"/>
      <c r="AZP29" s="388"/>
      <c r="AZQ29" s="388"/>
      <c r="AZR29" s="388"/>
      <c r="AZS29" s="388"/>
      <c r="AZT29" s="388"/>
      <c r="AZU29" s="388"/>
      <c r="AZV29" s="388"/>
      <c r="AZW29" s="388"/>
      <c r="AZX29" s="388"/>
      <c r="AZY29" s="388"/>
      <c r="AZZ29" s="388"/>
      <c r="BAA29" s="388"/>
      <c r="BAB29" s="388"/>
      <c r="BAC29" s="388"/>
      <c r="BAD29" s="388"/>
      <c r="BAE29" s="388"/>
      <c r="BAF29" s="388"/>
      <c r="BAG29" s="388"/>
      <c r="BAH29" s="388"/>
      <c r="BAI29" s="388"/>
      <c r="BAJ29" s="388"/>
      <c r="BAK29" s="388"/>
      <c r="BAL29" s="388"/>
      <c r="BAM29" s="388"/>
      <c r="BAN29" s="388"/>
      <c r="BAO29" s="388"/>
      <c r="BAP29" s="388"/>
      <c r="BAQ29" s="388"/>
      <c r="BAR29" s="388"/>
      <c r="BAS29" s="388"/>
      <c r="BAT29" s="388"/>
      <c r="BAU29" s="388"/>
      <c r="BAV29" s="388"/>
      <c r="BAW29" s="388"/>
      <c r="BAX29" s="388"/>
      <c r="BAY29" s="388"/>
      <c r="BAZ29" s="388"/>
      <c r="BBA29" s="388"/>
      <c r="BBB29" s="388"/>
      <c r="BBC29" s="388"/>
      <c r="BBD29" s="388"/>
      <c r="BBE29" s="388"/>
      <c r="BBF29" s="388"/>
      <c r="BBG29" s="388"/>
      <c r="BBH29" s="388"/>
      <c r="BBI29" s="388"/>
      <c r="BBJ29" s="388"/>
      <c r="BBK29" s="388"/>
      <c r="BBL29" s="388"/>
      <c r="BBM29" s="388"/>
      <c r="BBN29" s="388"/>
      <c r="BBO29" s="388"/>
      <c r="BBP29" s="388"/>
      <c r="BBQ29" s="388"/>
      <c r="BBR29" s="388"/>
      <c r="BBS29" s="388"/>
      <c r="BBT29" s="388"/>
      <c r="BBU29" s="388"/>
      <c r="BBV29" s="388"/>
      <c r="BBW29" s="388"/>
      <c r="BBX29" s="388"/>
      <c r="BBY29" s="388"/>
      <c r="BBZ29" s="388"/>
      <c r="BCA29" s="388"/>
      <c r="BCB29" s="388"/>
      <c r="BCC29" s="388"/>
      <c r="BCD29" s="388"/>
      <c r="BCE29" s="388"/>
      <c r="BCF29" s="388"/>
      <c r="BCG29" s="388"/>
      <c r="BCH29" s="388"/>
      <c r="BCI29" s="388"/>
      <c r="BCJ29" s="388"/>
      <c r="BCK29" s="388"/>
      <c r="BCL29" s="388"/>
      <c r="BCM29" s="388"/>
      <c r="BCN29" s="388"/>
      <c r="BCO29" s="388"/>
      <c r="BCP29" s="388"/>
      <c r="BCQ29" s="388"/>
      <c r="BCR29" s="388"/>
      <c r="BCS29" s="388"/>
      <c r="BCT29" s="388"/>
      <c r="BCU29" s="388"/>
      <c r="BCV29" s="388"/>
      <c r="BCW29" s="388"/>
      <c r="BCX29" s="388"/>
      <c r="BCY29" s="388"/>
      <c r="BCZ29" s="388"/>
      <c r="BDA29" s="388"/>
      <c r="BDB29" s="388"/>
      <c r="BDC29" s="388"/>
      <c r="BDD29" s="388"/>
      <c r="BDE29" s="388"/>
      <c r="BDF29" s="388"/>
      <c r="BDG29" s="388"/>
      <c r="BDH29" s="388"/>
      <c r="BDI29" s="388"/>
      <c r="BDJ29" s="388"/>
      <c r="BDK29" s="388"/>
      <c r="BDL29" s="388"/>
      <c r="BDM29" s="388"/>
      <c r="BDN29" s="388"/>
      <c r="BDO29" s="388"/>
      <c r="BDP29" s="388"/>
      <c r="BDQ29" s="388"/>
      <c r="BDR29" s="388"/>
      <c r="BDS29" s="388"/>
      <c r="BDT29" s="388"/>
      <c r="BDU29" s="388"/>
      <c r="BDV29" s="388"/>
      <c r="BDW29" s="388"/>
      <c r="BDX29" s="388"/>
      <c r="BDY29" s="388"/>
      <c r="BDZ29" s="388"/>
      <c r="BEA29" s="388"/>
      <c r="BEB29" s="388"/>
      <c r="BEC29" s="388"/>
      <c r="BED29" s="388"/>
      <c r="BEE29" s="388"/>
      <c r="BEF29" s="388"/>
      <c r="BEG29" s="388"/>
      <c r="BEH29" s="388"/>
      <c r="BEI29" s="388"/>
      <c r="BEJ29" s="388"/>
      <c r="BEK29" s="388"/>
      <c r="BEL29" s="388"/>
      <c r="BEM29" s="388"/>
      <c r="BEN29" s="388"/>
      <c r="BEO29" s="388"/>
      <c r="BEP29" s="388"/>
      <c r="BEQ29" s="388"/>
      <c r="BER29" s="388"/>
      <c r="BES29" s="388"/>
      <c r="BET29" s="388"/>
      <c r="BEU29" s="388"/>
      <c r="BEV29" s="388"/>
      <c r="BEW29" s="388"/>
      <c r="BEX29" s="388"/>
      <c r="BEY29" s="388"/>
      <c r="BEZ29" s="388"/>
      <c r="BFA29" s="388"/>
      <c r="BFB29" s="388"/>
      <c r="BFC29" s="388"/>
      <c r="BFD29" s="388"/>
      <c r="BFE29" s="388"/>
      <c r="BFF29" s="388"/>
      <c r="BFG29" s="388"/>
      <c r="BFH29" s="388"/>
      <c r="BFI29" s="388"/>
      <c r="BFJ29" s="388"/>
      <c r="BFK29" s="388"/>
      <c r="BFL29" s="388"/>
      <c r="BFM29" s="388"/>
      <c r="BFN29" s="388"/>
      <c r="BFO29" s="388"/>
      <c r="BFP29" s="388"/>
      <c r="BFQ29" s="388"/>
      <c r="BFR29" s="388"/>
      <c r="BFS29" s="388"/>
      <c r="BFT29" s="388"/>
      <c r="BFU29" s="388"/>
      <c r="BFV29" s="388"/>
      <c r="BFW29" s="388"/>
      <c r="BFX29" s="388"/>
      <c r="BFY29" s="388"/>
      <c r="BFZ29" s="388"/>
      <c r="BGA29" s="388"/>
      <c r="BGB29" s="388"/>
      <c r="BGC29" s="388"/>
      <c r="BGD29" s="388"/>
      <c r="BGE29" s="388"/>
      <c r="BGF29" s="388"/>
      <c r="BGG29" s="388"/>
      <c r="BGH29" s="388"/>
      <c r="BGI29" s="388"/>
      <c r="BGJ29" s="388"/>
      <c r="BGK29" s="388"/>
      <c r="BGL29" s="388"/>
      <c r="BGM29" s="388"/>
      <c r="BGN29" s="388"/>
      <c r="BGO29" s="388"/>
      <c r="BGP29" s="388"/>
      <c r="BGQ29" s="388"/>
      <c r="BGR29" s="388"/>
      <c r="BGS29" s="388"/>
      <c r="BGT29" s="388"/>
      <c r="BGU29" s="388"/>
      <c r="BGV29" s="388"/>
      <c r="BGW29" s="388"/>
      <c r="BGX29" s="388"/>
      <c r="BGY29" s="388"/>
      <c r="BGZ29" s="388"/>
      <c r="BHA29" s="388"/>
      <c r="BHB29" s="388"/>
      <c r="BHC29" s="388"/>
      <c r="BHD29" s="388"/>
      <c r="BHE29" s="388"/>
      <c r="BHF29" s="388"/>
      <c r="BHG29" s="388"/>
      <c r="BHH29" s="388"/>
      <c r="BHI29" s="388"/>
      <c r="BHJ29" s="388"/>
      <c r="BHK29" s="388"/>
      <c r="BHL29" s="388"/>
      <c r="BHM29" s="388"/>
      <c r="BHN29" s="388"/>
      <c r="BHO29" s="388"/>
      <c r="BHP29" s="388"/>
      <c r="BHQ29" s="388"/>
      <c r="BHR29" s="388"/>
      <c r="BHS29" s="388"/>
      <c r="BHT29" s="388"/>
      <c r="BHU29" s="388"/>
      <c r="BHV29" s="388"/>
      <c r="BHW29" s="388"/>
      <c r="BHX29" s="388"/>
      <c r="BHY29" s="388"/>
      <c r="BHZ29" s="388"/>
      <c r="BIA29" s="388"/>
      <c r="BIB29" s="388"/>
      <c r="BIC29" s="388"/>
      <c r="BID29" s="388"/>
      <c r="BIE29" s="388"/>
      <c r="BIF29" s="388"/>
      <c r="BIG29" s="388"/>
      <c r="BIH29" s="388"/>
      <c r="BII29" s="388"/>
      <c r="BIJ29" s="388"/>
      <c r="BIK29" s="388"/>
      <c r="BIL29" s="388"/>
      <c r="BIM29" s="388"/>
      <c r="BIN29" s="388"/>
      <c r="BIO29" s="388"/>
      <c r="BIP29" s="388"/>
      <c r="BIQ29" s="388"/>
      <c r="BIR29" s="388"/>
      <c r="BIS29" s="388"/>
      <c r="BIT29" s="388"/>
      <c r="BIU29" s="388"/>
      <c r="BIV29" s="388"/>
      <c r="BIW29" s="388"/>
      <c r="BIX29" s="388"/>
      <c r="BIY29" s="388"/>
      <c r="BIZ29" s="388"/>
      <c r="BJA29" s="388"/>
      <c r="BJB29" s="388"/>
      <c r="BJC29" s="388"/>
      <c r="BJD29" s="388"/>
      <c r="BJE29" s="388"/>
      <c r="BJF29" s="388"/>
      <c r="BJG29" s="388"/>
      <c r="BJH29" s="388"/>
      <c r="BJI29" s="388"/>
      <c r="BJJ29" s="388"/>
      <c r="BJK29" s="388"/>
      <c r="BJL29" s="388"/>
      <c r="BJM29" s="388"/>
      <c r="BJN29" s="388"/>
      <c r="BJO29" s="388"/>
      <c r="BJP29" s="388"/>
      <c r="BJQ29" s="388"/>
      <c r="BJR29" s="388"/>
      <c r="BJS29" s="388"/>
      <c r="BJT29" s="388"/>
      <c r="BJU29" s="388"/>
      <c r="BJV29" s="388"/>
      <c r="BJW29" s="388"/>
      <c r="BJX29" s="388"/>
      <c r="BJY29" s="388"/>
      <c r="BJZ29" s="388"/>
      <c r="BKA29" s="388"/>
      <c r="BKB29" s="388"/>
      <c r="BKC29" s="388"/>
      <c r="BKD29" s="388"/>
      <c r="BKE29" s="388"/>
      <c r="BKF29" s="388"/>
      <c r="BKG29" s="388"/>
      <c r="BKH29" s="388"/>
      <c r="BKI29" s="388"/>
      <c r="BKJ29" s="388"/>
      <c r="BKK29" s="388"/>
      <c r="BKL29" s="388"/>
      <c r="BKM29" s="388"/>
      <c r="BKN29" s="388"/>
      <c r="BKO29" s="388"/>
      <c r="BKP29" s="388"/>
      <c r="BKQ29" s="388"/>
      <c r="BKR29" s="388"/>
      <c r="BKS29" s="388"/>
      <c r="BKT29" s="388"/>
      <c r="BKU29" s="388"/>
      <c r="BKV29" s="388"/>
      <c r="BKW29" s="388"/>
      <c r="BKX29" s="388"/>
      <c r="BKY29" s="388"/>
      <c r="BKZ29" s="388"/>
      <c r="BLA29" s="388"/>
      <c r="BLB29" s="388"/>
      <c r="BLC29" s="388"/>
      <c r="BLD29" s="388"/>
      <c r="BLE29" s="388"/>
      <c r="BLF29" s="388"/>
      <c r="BLG29" s="388"/>
      <c r="BLH29" s="388"/>
      <c r="BLI29" s="388"/>
      <c r="BLJ29" s="388"/>
      <c r="BLK29" s="388"/>
      <c r="BLL29" s="388"/>
      <c r="BLM29" s="388"/>
      <c r="BLN29" s="388"/>
      <c r="BLO29" s="388"/>
      <c r="BLP29" s="388"/>
      <c r="BLQ29" s="388"/>
      <c r="BLR29" s="388"/>
      <c r="BLS29" s="388"/>
      <c r="BLT29" s="388"/>
      <c r="BLU29" s="388"/>
      <c r="BLV29" s="388"/>
      <c r="BLW29" s="388"/>
      <c r="BLX29" s="388"/>
      <c r="BLY29" s="388"/>
      <c r="BLZ29" s="388"/>
      <c r="BMA29" s="388"/>
      <c r="BMB29" s="388"/>
      <c r="BMC29" s="388"/>
      <c r="BMD29" s="388"/>
      <c r="BME29" s="388"/>
      <c r="BMF29" s="388"/>
      <c r="BMG29" s="388"/>
      <c r="BMH29" s="388"/>
      <c r="BMI29" s="388"/>
      <c r="BMJ29" s="388"/>
      <c r="BMK29" s="388"/>
      <c r="BML29" s="388"/>
      <c r="BMM29" s="388"/>
      <c r="BMN29" s="388"/>
      <c r="BMO29" s="388"/>
      <c r="BMP29" s="388"/>
      <c r="BMQ29" s="388"/>
      <c r="BMR29" s="388"/>
      <c r="BMS29" s="388"/>
      <c r="BMT29" s="388"/>
      <c r="BMU29" s="388"/>
      <c r="BMV29" s="388"/>
      <c r="BMW29" s="388"/>
      <c r="BMX29" s="388"/>
      <c r="BMY29" s="388"/>
      <c r="BMZ29" s="388"/>
      <c r="BNA29" s="388"/>
      <c r="BNB29" s="388"/>
      <c r="BNC29" s="388"/>
      <c r="BND29" s="388"/>
      <c r="BNE29" s="388"/>
      <c r="BNF29" s="388"/>
      <c r="BNG29" s="388"/>
      <c r="BNH29" s="388"/>
      <c r="BNI29" s="388"/>
      <c r="BNJ29" s="388"/>
      <c r="BNK29" s="388"/>
      <c r="BNL29" s="388"/>
      <c r="BNM29" s="388"/>
      <c r="BNN29" s="388"/>
      <c r="BNO29" s="388"/>
      <c r="BNP29" s="388"/>
      <c r="BNQ29" s="388"/>
      <c r="BNR29" s="388"/>
      <c r="BNS29" s="388"/>
      <c r="BNT29" s="388"/>
      <c r="BNU29" s="388"/>
      <c r="BNV29" s="388"/>
      <c r="BNW29" s="388"/>
      <c r="BNX29" s="388"/>
      <c r="BNY29" s="388"/>
      <c r="BNZ29" s="388"/>
      <c r="BOA29" s="388"/>
      <c r="BOB29" s="388"/>
      <c r="BOC29" s="388"/>
      <c r="BOD29" s="388"/>
      <c r="BOE29" s="388"/>
      <c r="BOF29" s="388"/>
      <c r="BOG29" s="388"/>
      <c r="BOH29" s="388"/>
      <c r="BOI29" s="388"/>
      <c r="BOJ29" s="388"/>
      <c r="BOK29" s="388"/>
      <c r="BOL29" s="388"/>
      <c r="BOM29" s="388"/>
      <c r="BON29" s="388"/>
      <c r="BOO29" s="388"/>
      <c r="BOP29" s="388"/>
      <c r="BOQ29" s="388"/>
      <c r="BOR29" s="388"/>
      <c r="BOS29" s="388"/>
      <c r="BOT29" s="388"/>
      <c r="BOU29" s="388"/>
      <c r="BOV29" s="388"/>
      <c r="BOW29" s="388"/>
      <c r="BOX29" s="388"/>
      <c r="BOY29" s="388"/>
      <c r="BOZ29" s="388"/>
      <c r="BPA29" s="388"/>
      <c r="BPB29" s="388"/>
      <c r="BPC29" s="388"/>
      <c r="BPD29" s="388"/>
      <c r="BPE29" s="388"/>
      <c r="BPF29" s="388"/>
      <c r="BPG29" s="388"/>
      <c r="BPH29" s="388"/>
      <c r="BPI29" s="388"/>
      <c r="BPJ29" s="388"/>
      <c r="BPK29" s="388"/>
      <c r="BPL29" s="388"/>
      <c r="BPM29" s="388"/>
      <c r="BPN29" s="388"/>
      <c r="BPO29" s="388"/>
      <c r="BPP29" s="388"/>
      <c r="BPQ29" s="388"/>
      <c r="BPR29" s="388"/>
      <c r="BPS29" s="388"/>
      <c r="BPT29" s="388"/>
      <c r="BPU29" s="388"/>
      <c r="BPV29" s="388"/>
      <c r="BPW29" s="388"/>
      <c r="BPX29" s="388"/>
      <c r="BPY29" s="388"/>
      <c r="BPZ29" s="388"/>
      <c r="BQA29" s="388"/>
      <c r="BQB29" s="388"/>
      <c r="BQC29" s="388"/>
      <c r="BQD29" s="388"/>
      <c r="BQE29" s="388"/>
      <c r="BQF29" s="388"/>
      <c r="BQG29" s="388"/>
      <c r="BQH29" s="388"/>
      <c r="BQI29" s="388"/>
      <c r="BQJ29" s="388"/>
      <c r="BQK29" s="388"/>
      <c r="BQL29" s="388"/>
      <c r="BQM29" s="388"/>
      <c r="BQN29" s="388"/>
      <c r="BQO29" s="388"/>
      <c r="BQP29" s="388"/>
      <c r="BQQ29" s="388"/>
      <c r="BQR29" s="388"/>
      <c r="BQS29" s="388"/>
      <c r="BQT29" s="388"/>
      <c r="BQU29" s="388"/>
      <c r="BQV29" s="388"/>
      <c r="BQW29" s="388"/>
      <c r="BQX29" s="388"/>
      <c r="BQY29" s="388"/>
      <c r="BQZ29" s="388"/>
      <c r="BRA29" s="388"/>
      <c r="BRB29" s="388"/>
      <c r="BRC29" s="388"/>
      <c r="BRD29" s="388"/>
      <c r="BRE29" s="388"/>
      <c r="BRF29" s="388"/>
      <c r="BRG29" s="388"/>
      <c r="BRH29" s="388"/>
      <c r="BRI29" s="388"/>
      <c r="BRJ29" s="388"/>
      <c r="BRK29" s="388"/>
      <c r="BRL29" s="388"/>
      <c r="BRM29" s="388"/>
      <c r="BRN29" s="388"/>
      <c r="BRO29" s="388"/>
      <c r="BRP29" s="388"/>
      <c r="BRQ29" s="388"/>
      <c r="BRR29" s="388"/>
      <c r="BRS29" s="388"/>
      <c r="BRT29" s="388"/>
      <c r="BRU29" s="388"/>
      <c r="BRV29" s="388"/>
      <c r="BRW29" s="388"/>
      <c r="BRX29" s="388"/>
      <c r="BRY29" s="388"/>
      <c r="BRZ29" s="388"/>
      <c r="BSA29" s="388"/>
      <c r="BSB29" s="388"/>
      <c r="BSC29" s="388"/>
      <c r="BSD29" s="388"/>
      <c r="BSE29" s="388"/>
      <c r="BSF29" s="388"/>
      <c r="BSG29" s="388"/>
      <c r="BSH29" s="388"/>
      <c r="BSI29" s="388"/>
      <c r="BSJ29" s="388"/>
      <c r="BSK29" s="388"/>
      <c r="BSL29" s="388"/>
      <c r="BSM29" s="388"/>
      <c r="BSN29" s="388"/>
      <c r="BSO29" s="388"/>
      <c r="BSP29" s="388"/>
      <c r="BSQ29" s="388"/>
      <c r="BSR29" s="388"/>
      <c r="BSS29" s="388"/>
      <c r="BST29" s="388"/>
      <c r="BSU29" s="388"/>
      <c r="BSV29" s="388"/>
      <c r="BSW29" s="388"/>
      <c r="BSX29" s="388"/>
      <c r="BSY29" s="388"/>
      <c r="BSZ29" s="388"/>
      <c r="BTA29" s="388"/>
      <c r="BTB29" s="388"/>
      <c r="BTC29" s="388"/>
      <c r="BTD29" s="388"/>
      <c r="BTE29" s="388"/>
      <c r="BTF29" s="388"/>
      <c r="BTG29" s="388"/>
      <c r="BTH29" s="388"/>
      <c r="BTI29" s="388"/>
      <c r="BTJ29" s="388"/>
      <c r="BTK29" s="388"/>
      <c r="BTL29" s="388"/>
      <c r="BTM29" s="388"/>
      <c r="BTN29" s="388"/>
      <c r="BTO29" s="388"/>
      <c r="BTP29" s="388"/>
      <c r="BTQ29" s="388"/>
      <c r="BTR29" s="388"/>
      <c r="BTS29" s="388"/>
      <c r="BTT29" s="388"/>
      <c r="BTU29" s="388"/>
      <c r="BTV29" s="388"/>
      <c r="BTW29" s="388"/>
      <c r="BTX29" s="388"/>
      <c r="BTY29" s="388"/>
      <c r="BTZ29" s="388"/>
      <c r="BUA29" s="388"/>
      <c r="BUB29" s="388"/>
      <c r="BUC29" s="388"/>
      <c r="BUD29" s="388"/>
      <c r="BUE29" s="388"/>
      <c r="BUF29" s="388"/>
      <c r="BUG29" s="388"/>
      <c r="BUH29" s="388"/>
      <c r="BUI29" s="388"/>
      <c r="BUJ29" s="388"/>
      <c r="BUK29" s="388"/>
      <c r="BUL29" s="388"/>
      <c r="BUM29" s="388"/>
      <c r="BUN29" s="388"/>
      <c r="BUO29" s="388"/>
      <c r="BUP29" s="388"/>
      <c r="BUQ29" s="388"/>
      <c r="BUR29" s="388"/>
      <c r="BUS29" s="388"/>
      <c r="BUT29" s="388"/>
      <c r="BUU29" s="388"/>
      <c r="BUV29" s="388"/>
      <c r="BUW29" s="388"/>
      <c r="BUX29" s="388"/>
      <c r="BUY29" s="388"/>
      <c r="BUZ29" s="388"/>
      <c r="BVA29" s="388"/>
      <c r="BVB29" s="388"/>
      <c r="BVC29" s="388"/>
      <c r="BVD29" s="388"/>
      <c r="BVE29" s="388"/>
      <c r="BVF29" s="388"/>
      <c r="BVG29" s="388"/>
      <c r="BVH29" s="388"/>
      <c r="BVI29" s="388"/>
      <c r="BVJ29" s="388"/>
      <c r="BVK29" s="388"/>
      <c r="BVL29" s="388"/>
      <c r="BVM29" s="388"/>
      <c r="BVN29" s="388"/>
      <c r="BVO29" s="388"/>
      <c r="BVP29" s="388"/>
      <c r="BVQ29" s="388"/>
      <c r="BVR29" s="388"/>
      <c r="BVS29" s="388"/>
      <c r="BVT29" s="388"/>
      <c r="BVU29" s="388"/>
      <c r="BVV29" s="388"/>
      <c r="BVW29" s="388"/>
      <c r="BVX29" s="388"/>
      <c r="BVY29" s="388"/>
      <c r="BVZ29" s="388"/>
      <c r="BWA29" s="388"/>
      <c r="BWB29" s="388"/>
      <c r="BWC29" s="388"/>
      <c r="BWD29" s="388"/>
      <c r="BWE29" s="388"/>
      <c r="BWF29" s="388"/>
      <c r="BWG29" s="388"/>
      <c r="BWH29" s="388"/>
      <c r="BWI29" s="388"/>
      <c r="BWJ29" s="388"/>
      <c r="BWK29" s="388"/>
      <c r="BWL29" s="388"/>
      <c r="BWM29" s="388"/>
      <c r="BWN29" s="388"/>
      <c r="BWO29" s="388"/>
      <c r="BWP29" s="388"/>
      <c r="BWQ29" s="388"/>
      <c r="BWR29" s="388"/>
      <c r="BWS29" s="388"/>
      <c r="BWT29" s="388"/>
      <c r="BWU29" s="388"/>
      <c r="BWV29" s="388"/>
      <c r="BWW29" s="388"/>
      <c r="BWX29" s="388"/>
      <c r="BWY29" s="388"/>
      <c r="BWZ29" s="388"/>
      <c r="BXA29" s="388"/>
      <c r="BXB29" s="388"/>
      <c r="BXC29" s="388"/>
      <c r="BXD29" s="388"/>
      <c r="BXE29" s="388"/>
      <c r="BXF29" s="388"/>
      <c r="BXG29" s="388"/>
      <c r="BXH29" s="388"/>
      <c r="BXI29" s="388"/>
      <c r="BXJ29" s="388"/>
      <c r="BXK29" s="388"/>
      <c r="BXL29" s="388"/>
      <c r="BXM29" s="388"/>
      <c r="BXN29" s="388"/>
      <c r="BXO29" s="388"/>
      <c r="BXP29" s="388"/>
      <c r="BXQ29" s="388"/>
      <c r="BXR29" s="388"/>
      <c r="BXS29" s="388"/>
      <c r="BXT29" s="388"/>
      <c r="BXU29" s="388"/>
      <c r="BXV29" s="388"/>
      <c r="BXW29" s="388"/>
      <c r="BXX29" s="388"/>
      <c r="BXY29" s="388"/>
      <c r="BXZ29" s="388"/>
      <c r="BYA29" s="388"/>
      <c r="BYB29" s="388"/>
      <c r="BYC29" s="388"/>
      <c r="BYD29" s="388"/>
      <c r="BYE29" s="388"/>
      <c r="BYF29" s="388"/>
      <c r="BYG29" s="388"/>
      <c r="BYH29" s="388"/>
      <c r="BYI29" s="388"/>
      <c r="BYJ29" s="388"/>
      <c r="BYK29" s="388"/>
      <c r="BYL29" s="388"/>
      <c r="BYM29" s="388"/>
      <c r="BYN29" s="388"/>
      <c r="BYO29" s="388"/>
      <c r="BYP29" s="388"/>
      <c r="BYQ29" s="388"/>
      <c r="BYR29" s="388"/>
      <c r="BYS29" s="388"/>
      <c r="BYT29" s="388"/>
      <c r="BYU29" s="388"/>
      <c r="BYV29" s="388"/>
      <c r="BYW29" s="388"/>
      <c r="BYX29" s="388"/>
      <c r="BYY29" s="388"/>
      <c r="BYZ29" s="388"/>
      <c r="BZA29" s="388"/>
      <c r="BZB29" s="388"/>
      <c r="BZC29" s="388"/>
      <c r="BZD29" s="388"/>
      <c r="BZE29" s="388"/>
      <c r="BZF29" s="388"/>
      <c r="BZG29" s="388"/>
      <c r="BZH29" s="388"/>
      <c r="BZI29" s="388"/>
      <c r="BZJ29" s="388"/>
      <c r="BZK29" s="388"/>
      <c r="BZL29" s="388"/>
      <c r="BZM29" s="388"/>
      <c r="BZN29" s="388"/>
      <c r="BZO29" s="388"/>
      <c r="BZP29" s="388"/>
      <c r="BZQ29" s="388"/>
      <c r="BZR29" s="388"/>
      <c r="BZS29" s="388"/>
      <c r="BZT29" s="388"/>
      <c r="BZU29" s="388"/>
      <c r="BZV29" s="388"/>
      <c r="BZW29" s="388"/>
      <c r="BZX29" s="388"/>
      <c r="BZY29" s="388"/>
      <c r="BZZ29" s="388"/>
      <c r="CAA29" s="388"/>
      <c r="CAB29" s="388"/>
      <c r="CAC29" s="388"/>
      <c r="CAD29" s="388"/>
      <c r="CAE29" s="388"/>
      <c r="CAF29" s="388"/>
      <c r="CAG29" s="388"/>
      <c r="CAH29" s="388"/>
      <c r="CAI29" s="388"/>
      <c r="CAJ29" s="388"/>
      <c r="CAK29" s="388"/>
      <c r="CAL29" s="388"/>
      <c r="CAM29" s="388"/>
      <c r="CAN29" s="388"/>
      <c r="CAO29" s="388"/>
      <c r="CAP29" s="388"/>
      <c r="CAQ29" s="388"/>
      <c r="CAR29" s="388"/>
      <c r="CAS29" s="388"/>
      <c r="CAT29" s="388"/>
      <c r="CAU29" s="388"/>
      <c r="CAV29" s="388"/>
      <c r="CAW29" s="388"/>
      <c r="CAX29" s="388"/>
      <c r="CAY29" s="388"/>
      <c r="CAZ29" s="388"/>
      <c r="CBA29" s="388"/>
      <c r="CBB29" s="388"/>
      <c r="CBC29" s="388"/>
      <c r="CBD29" s="388"/>
      <c r="CBE29" s="388"/>
      <c r="CBF29" s="388"/>
      <c r="CBG29" s="388"/>
      <c r="CBH29" s="388"/>
      <c r="CBI29" s="388"/>
      <c r="CBJ29" s="388"/>
      <c r="CBK29" s="388"/>
      <c r="CBL29" s="388"/>
      <c r="CBM29" s="388"/>
      <c r="CBN29" s="388"/>
      <c r="CBO29" s="388"/>
      <c r="CBP29" s="388"/>
      <c r="CBQ29" s="388"/>
      <c r="CBR29" s="388"/>
      <c r="CBS29" s="388"/>
      <c r="CBT29" s="388"/>
      <c r="CBU29" s="388"/>
      <c r="CBV29" s="388"/>
      <c r="CBW29" s="388"/>
      <c r="CBX29" s="388"/>
      <c r="CBY29" s="388"/>
      <c r="CBZ29" s="388"/>
      <c r="CCA29" s="388"/>
      <c r="CCB29" s="388"/>
      <c r="CCC29" s="388"/>
      <c r="CCD29" s="388"/>
      <c r="CCE29" s="388"/>
      <c r="CCF29" s="388"/>
      <c r="CCG29" s="388"/>
      <c r="CCH29" s="388"/>
      <c r="CCI29" s="388"/>
      <c r="CCJ29" s="388"/>
      <c r="CCK29" s="388"/>
      <c r="CCL29" s="388"/>
      <c r="CCM29" s="388"/>
      <c r="CCN29" s="388"/>
      <c r="CCO29" s="388"/>
      <c r="CCP29" s="388"/>
      <c r="CCQ29" s="388"/>
      <c r="CCR29" s="388"/>
      <c r="CCS29" s="388"/>
      <c r="CCT29" s="388"/>
      <c r="CCU29" s="388"/>
      <c r="CCV29" s="388"/>
      <c r="CCW29" s="388"/>
      <c r="CCX29" s="388"/>
      <c r="CCY29" s="388"/>
      <c r="CCZ29" s="388"/>
      <c r="CDA29" s="388"/>
      <c r="CDB29" s="388"/>
      <c r="CDC29" s="388"/>
      <c r="CDD29" s="388"/>
      <c r="CDE29" s="388"/>
      <c r="CDF29" s="388"/>
      <c r="CDG29" s="388"/>
      <c r="CDH29" s="388"/>
      <c r="CDI29" s="388"/>
      <c r="CDJ29" s="388"/>
      <c r="CDK29" s="388"/>
      <c r="CDL29" s="388"/>
      <c r="CDM29" s="388"/>
      <c r="CDN29" s="388"/>
      <c r="CDO29" s="388"/>
      <c r="CDP29" s="388"/>
      <c r="CDQ29" s="388"/>
      <c r="CDR29" s="388"/>
      <c r="CDS29" s="388"/>
      <c r="CDT29" s="388"/>
      <c r="CDU29" s="388"/>
      <c r="CDV29" s="388"/>
      <c r="CDW29" s="388"/>
      <c r="CDX29" s="388"/>
      <c r="CDY29" s="388"/>
      <c r="CDZ29" s="388"/>
      <c r="CEA29" s="388"/>
      <c r="CEB29" s="388"/>
      <c r="CEC29" s="388"/>
      <c r="CED29" s="388"/>
      <c r="CEE29" s="388"/>
      <c r="CEF29" s="388"/>
      <c r="CEG29" s="388"/>
      <c r="CEH29" s="388"/>
      <c r="CEI29" s="388"/>
      <c r="CEJ29" s="388"/>
      <c r="CEK29" s="388"/>
      <c r="CEL29" s="388"/>
      <c r="CEM29" s="388"/>
      <c r="CEN29" s="388"/>
      <c r="CEO29" s="388"/>
      <c r="CEP29" s="388"/>
      <c r="CEQ29" s="388"/>
      <c r="CER29" s="388"/>
      <c r="CES29" s="388"/>
      <c r="CET29" s="388"/>
      <c r="CEU29" s="388"/>
      <c r="CEV29" s="388"/>
      <c r="CEW29" s="388"/>
      <c r="CEX29" s="388"/>
      <c r="CEY29" s="388"/>
      <c r="CEZ29" s="388"/>
      <c r="CFA29" s="388"/>
      <c r="CFB29" s="388"/>
      <c r="CFC29" s="388"/>
      <c r="CFD29" s="388"/>
      <c r="CFE29" s="388"/>
      <c r="CFF29" s="388"/>
      <c r="CFG29" s="388"/>
      <c r="CFH29" s="388"/>
      <c r="CFI29" s="388"/>
      <c r="CFJ29" s="388"/>
      <c r="CFK29" s="388"/>
      <c r="CFL29" s="388"/>
      <c r="CFM29" s="388"/>
      <c r="CFN29" s="388"/>
      <c r="CFO29" s="388"/>
      <c r="CFP29" s="388"/>
      <c r="CFQ29" s="388"/>
      <c r="CFR29" s="388"/>
      <c r="CFS29" s="388"/>
      <c r="CFT29" s="388"/>
      <c r="CFU29" s="388"/>
      <c r="CFV29" s="388"/>
      <c r="CFW29" s="388"/>
      <c r="CFX29" s="388"/>
      <c r="CFY29" s="388"/>
      <c r="CFZ29" s="388"/>
      <c r="CGA29" s="388"/>
      <c r="CGB29" s="388"/>
      <c r="CGC29" s="388"/>
      <c r="CGD29" s="388"/>
      <c r="CGE29" s="388"/>
      <c r="CGF29" s="388"/>
      <c r="CGG29" s="388"/>
      <c r="CGH29" s="388"/>
      <c r="CGI29" s="388"/>
      <c r="CGJ29" s="388"/>
      <c r="CGK29" s="388"/>
      <c r="CGL29" s="388"/>
      <c r="CGM29" s="388"/>
      <c r="CGN29" s="388"/>
      <c r="CGO29" s="388"/>
      <c r="CGP29" s="388"/>
      <c r="CGQ29" s="388"/>
      <c r="CGR29" s="388"/>
      <c r="CGS29" s="388"/>
      <c r="CGT29" s="388"/>
      <c r="CGU29" s="388"/>
      <c r="CGV29" s="388"/>
      <c r="CGW29" s="388"/>
      <c r="CGX29" s="388"/>
      <c r="CGY29" s="388"/>
      <c r="CGZ29" s="388"/>
      <c r="CHA29" s="388"/>
      <c r="CHB29" s="388"/>
      <c r="CHC29" s="388"/>
      <c r="CHD29" s="388"/>
      <c r="CHE29" s="388"/>
      <c r="CHF29" s="388"/>
      <c r="CHG29" s="388"/>
      <c r="CHH29" s="388"/>
      <c r="CHI29" s="388"/>
      <c r="CHJ29" s="388"/>
      <c r="CHK29" s="388"/>
      <c r="CHL29" s="388"/>
      <c r="CHM29" s="388"/>
      <c r="CHN29" s="388"/>
      <c r="CHO29" s="388"/>
      <c r="CHP29" s="388"/>
      <c r="CHQ29" s="388"/>
      <c r="CHR29" s="388"/>
      <c r="CHS29" s="388"/>
      <c r="CHT29" s="388"/>
      <c r="CHU29" s="388"/>
      <c r="CHV29" s="388"/>
      <c r="CHW29" s="388"/>
      <c r="CHX29" s="388"/>
      <c r="CHY29" s="388"/>
      <c r="CHZ29" s="388"/>
      <c r="CIA29" s="388"/>
      <c r="CIB29" s="388"/>
      <c r="CIC29" s="388"/>
      <c r="CID29" s="388"/>
      <c r="CIE29" s="388"/>
      <c r="CIF29" s="388"/>
      <c r="CIG29" s="388"/>
      <c r="CIH29" s="388"/>
      <c r="CII29" s="388"/>
      <c r="CIJ29" s="388"/>
      <c r="CIK29" s="388"/>
      <c r="CIL29" s="388"/>
      <c r="CIM29" s="388"/>
      <c r="CIN29" s="388"/>
      <c r="CIO29" s="388"/>
      <c r="CIP29" s="388"/>
      <c r="CIQ29" s="388"/>
      <c r="CIR29" s="388"/>
      <c r="CIS29" s="388"/>
      <c r="CIT29" s="388"/>
      <c r="CIU29" s="388"/>
      <c r="CIV29" s="388"/>
      <c r="CIW29" s="388"/>
      <c r="CIX29" s="388"/>
      <c r="CIY29" s="388"/>
      <c r="CIZ29" s="388"/>
      <c r="CJA29" s="388"/>
      <c r="CJB29" s="388"/>
      <c r="CJC29" s="388"/>
      <c r="CJD29" s="388"/>
      <c r="CJE29" s="388"/>
      <c r="CJF29" s="388"/>
      <c r="CJG29" s="388"/>
      <c r="CJH29" s="388"/>
      <c r="CJI29" s="388"/>
      <c r="CJJ29" s="388"/>
      <c r="CJK29" s="388"/>
      <c r="CJL29" s="388"/>
      <c r="CJM29" s="388"/>
      <c r="CJN29" s="388"/>
      <c r="CJO29" s="388"/>
      <c r="CJP29" s="388"/>
      <c r="CJQ29" s="388"/>
      <c r="CJR29" s="388"/>
      <c r="CJS29" s="388"/>
      <c r="CJT29" s="388"/>
      <c r="CJU29" s="388"/>
      <c r="CJV29" s="388"/>
      <c r="CJW29" s="388"/>
      <c r="CJX29" s="388"/>
      <c r="CJY29" s="388"/>
      <c r="CJZ29" s="388"/>
      <c r="CKA29" s="388"/>
      <c r="CKB29" s="388"/>
      <c r="CKC29" s="388"/>
      <c r="CKD29" s="388"/>
      <c r="CKE29" s="388"/>
      <c r="CKF29" s="388"/>
      <c r="CKG29" s="388"/>
      <c r="CKH29" s="388"/>
      <c r="CKI29" s="388"/>
      <c r="CKJ29" s="388"/>
      <c r="CKK29" s="388"/>
      <c r="CKL29" s="388"/>
      <c r="CKM29" s="388"/>
      <c r="CKN29" s="388"/>
      <c r="CKO29" s="388"/>
      <c r="CKP29" s="388"/>
      <c r="CKQ29" s="388"/>
      <c r="CKR29" s="388"/>
      <c r="CKS29" s="388"/>
      <c r="CKT29" s="388"/>
      <c r="CKU29" s="388"/>
      <c r="CKV29" s="388"/>
      <c r="CKW29" s="388"/>
      <c r="CKX29" s="388"/>
      <c r="CKY29" s="388"/>
      <c r="CKZ29" s="388"/>
      <c r="CLA29" s="388"/>
      <c r="CLB29" s="388"/>
      <c r="CLC29" s="388"/>
      <c r="CLD29" s="388"/>
      <c r="CLE29" s="388"/>
      <c r="CLF29" s="388"/>
      <c r="CLG29" s="388"/>
      <c r="CLH29" s="388"/>
      <c r="CLI29" s="388"/>
      <c r="CLJ29" s="388"/>
      <c r="CLK29" s="388"/>
      <c r="CLL29" s="388"/>
      <c r="CLM29" s="388"/>
      <c r="CLN29" s="388"/>
      <c r="CLO29" s="388"/>
      <c r="CLP29" s="388"/>
      <c r="CLQ29" s="388"/>
      <c r="CLR29" s="388"/>
      <c r="CLS29" s="388"/>
      <c r="CLT29" s="388"/>
      <c r="CLU29" s="388"/>
      <c r="CLV29" s="388"/>
      <c r="CLW29" s="388"/>
      <c r="CLX29" s="388"/>
      <c r="CLY29" s="388"/>
      <c r="CLZ29" s="388"/>
      <c r="CMA29" s="388"/>
      <c r="CMB29" s="388"/>
      <c r="CMC29" s="388"/>
      <c r="CMD29" s="388"/>
      <c r="CME29" s="388"/>
      <c r="CMF29" s="388"/>
      <c r="CMG29" s="388"/>
      <c r="CMH29" s="388"/>
      <c r="CMI29" s="388"/>
      <c r="CMJ29" s="388"/>
      <c r="CMK29" s="388"/>
      <c r="CML29" s="388"/>
      <c r="CMM29" s="388"/>
      <c r="CMN29" s="388"/>
      <c r="CMO29" s="388"/>
      <c r="CMP29" s="388"/>
      <c r="CMQ29" s="388"/>
      <c r="CMR29" s="388"/>
      <c r="CMS29" s="388"/>
      <c r="CMT29" s="388"/>
      <c r="CMU29" s="388"/>
      <c r="CMV29" s="388"/>
      <c r="CMW29" s="388"/>
      <c r="CMX29" s="388"/>
      <c r="CMY29" s="388"/>
      <c r="CMZ29" s="388"/>
      <c r="CNA29" s="388"/>
      <c r="CNB29" s="388"/>
      <c r="CNC29" s="388"/>
      <c r="CND29" s="388"/>
      <c r="CNE29" s="388"/>
      <c r="CNF29" s="388"/>
      <c r="CNG29" s="388"/>
      <c r="CNH29" s="388"/>
      <c r="CNI29" s="388"/>
      <c r="CNJ29" s="388"/>
      <c r="CNK29" s="388"/>
      <c r="CNL29" s="388"/>
      <c r="CNM29" s="388"/>
      <c r="CNN29" s="388"/>
      <c r="CNO29" s="388"/>
      <c r="CNP29" s="388"/>
      <c r="CNQ29" s="388"/>
      <c r="CNR29" s="388"/>
      <c r="CNS29" s="388"/>
      <c r="CNT29" s="388"/>
      <c r="CNU29" s="388"/>
      <c r="CNV29" s="388"/>
      <c r="CNW29" s="388"/>
      <c r="CNX29" s="388"/>
      <c r="CNY29" s="388"/>
      <c r="CNZ29" s="388"/>
      <c r="COA29" s="388"/>
      <c r="COB29" s="388"/>
      <c r="COC29" s="388"/>
      <c r="COD29" s="388"/>
      <c r="COE29" s="388"/>
      <c r="COF29" s="388"/>
      <c r="COG29" s="388"/>
      <c r="COH29" s="388"/>
      <c r="COI29" s="388"/>
      <c r="COJ29" s="388"/>
      <c r="COK29" s="388"/>
      <c r="COL29" s="388"/>
      <c r="COM29" s="388"/>
      <c r="CON29" s="388"/>
      <c r="COO29" s="388"/>
      <c r="COP29" s="388"/>
      <c r="COQ29" s="388"/>
      <c r="COR29" s="388"/>
      <c r="COS29" s="388"/>
      <c r="COT29" s="388"/>
      <c r="COU29" s="388"/>
      <c r="COV29" s="388"/>
      <c r="COW29" s="388"/>
      <c r="COX29" s="388"/>
      <c r="COY29" s="388"/>
      <c r="COZ29" s="388"/>
      <c r="CPA29" s="388"/>
      <c r="CPB29" s="388"/>
      <c r="CPC29" s="388"/>
      <c r="CPD29" s="388"/>
      <c r="CPE29" s="388"/>
      <c r="CPF29" s="388"/>
      <c r="CPG29" s="388"/>
      <c r="CPH29" s="388"/>
      <c r="CPI29" s="388"/>
      <c r="CPJ29" s="388"/>
      <c r="CPK29" s="388"/>
      <c r="CPL29" s="388"/>
      <c r="CPM29" s="388"/>
      <c r="CPN29" s="388"/>
      <c r="CPO29" s="388"/>
      <c r="CPP29" s="388"/>
      <c r="CPQ29" s="388"/>
      <c r="CPR29" s="388"/>
      <c r="CPS29" s="388"/>
      <c r="CPT29" s="388"/>
      <c r="CPU29" s="388"/>
      <c r="CPV29" s="388"/>
      <c r="CPW29" s="388"/>
      <c r="CPX29" s="388"/>
      <c r="CPY29" s="388"/>
      <c r="CPZ29" s="388"/>
      <c r="CQA29" s="388"/>
      <c r="CQB29" s="388"/>
      <c r="CQC29" s="388"/>
      <c r="CQD29" s="388"/>
      <c r="CQE29" s="388"/>
      <c r="CQF29" s="388"/>
      <c r="CQG29" s="388"/>
      <c r="CQH29" s="388"/>
      <c r="CQI29" s="388"/>
      <c r="CQJ29" s="388"/>
      <c r="CQK29" s="388"/>
      <c r="CQL29" s="388"/>
      <c r="CQM29" s="388"/>
      <c r="CQN29" s="388"/>
      <c r="CQO29" s="388"/>
      <c r="CQP29" s="388"/>
      <c r="CQQ29" s="388"/>
      <c r="CQR29" s="388"/>
      <c r="CQS29" s="388"/>
      <c r="CQT29" s="388"/>
      <c r="CQU29" s="388"/>
      <c r="CQV29" s="388"/>
      <c r="CQW29" s="388"/>
      <c r="CQX29" s="388"/>
      <c r="CQY29" s="388"/>
      <c r="CQZ29" s="388"/>
      <c r="CRA29" s="388"/>
      <c r="CRB29" s="388"/>
      <c r="CRC29" s="388"/>
      <c r="CRD29" s="388"/>
      <c r="CRE29" s="388"/>
      <c r="CRF29" s="388"/>
      <c r="CRG29" s="388"/>
      <c r="CRH29" s="388"/>
      <c r="CRI29" s="388"/>
      <c r="CRJ29" s="388"/>
      <c r="CRK29" s="388"/>
      <c r="CRL29" s="388"/>
      <c r="CRM29" s="388"/>
      <c r="CRN29" s="388"/>
      <c r="CRO29" s="388"/>
      <c r="CRP29" s="388"/>
      <c r="CRQ29" s="388"/>
      <c r="CRR29" s="388"/>
      <c r="CRS29" s="388"/>
      <c r="CRT29" s="388"/>
      <c r="CRU29" s="388"/>
      <c r="CRV29" s="388"/>
      <c r="CRW29" s="388"/>
      <c r="CRX29" s="388"/>
      <c r="CRY29" s="388"/>
      <c r="CRZ29" s="388"/>
      <c r="CSA29" s="388"/>
      <c r="CSB29" s="388"/>
      <c r="CSC29" s="388"/>
      <c r="CSD29" s="388"/>
      <c r="CSE29" s="388"/>
      <c r="CSF29" s="388"/>
      <c r="CSG29" s="388"/>
      <c r="CSH29" s="388"/>
      <c r="CSI29" s="388"/>
      <c r="CSJ29" s="388"/>
      <c r="CSK29" s="388"/>
      <c r="CSL29" s="388"/>
      <c r="CSM29" s="388"/>
      <c r="CSN29" s="388"/>
      <c r="CSO29" s="388"/>
      <c r="CSP29" s="388"/>
      <c r="CSQ29" s="388"/>
      <c r="CSR29" s="388"/>
      <c r="CSS29" s="388"/>
      <c r="CST29" s="388"/>
      <c r="CSU29" s="388"/>
      <c r="CSV29" s="388"/>
      <c r="CSW29" s="388"/>
      <c r="CSX29" s="388"/>
      <c r="CSY29" s="388"/>
      <c r="CSZ29" s="388"/>
      <c r="CTA29" s="388"/>
      <c r="CTB29" s="388"/>
      <c r="CTC29" s="388"/>
      <c r="CTD29" s="388"/>
      <c r="CTE29" s="388"/>
      <c r="CTF29" s="388"/>
      <c r="CTG29" s="388"/>
      <c r="CTH29" s="388"/>
      <c r="CTI29" s="388"/>
      <c r="CTJ29" s="388"/>
      <c r="CTK29" s="388"/>
      <c r="CTL29" s="388"/>
      <c r="CTM29" s="388"/>
      <c r="CTN29" s="388"/>
      <c r="CTO29" s="388"/>
      <c r="CTP29" s="388"/>
      <c r="CTQ29" s="388"/>
      <c r="CTR29" s="388"/>
      <c r="CTS29" s="388"/>
      <c r="CTT29" s="388"/>
      <c r="CTU29" s="388"/>
      <c r="CTV29" s="388"/>
      <c r="CTW29" s="388"/>
      <c r="CTX29" s="388"/>
      <c r="CTY29" s="388"/>
      <c r="CTZ29" s="388"/>
      <c r="CUA29" s="388"/>
      <c r="CUB29" s="388"/>
      <c r="CUC29" s="388"/>
      <c r="CUD29" s="388"/>
      <c r="CUE29" s="388"/>
      <c r="CUF29" s="388"/>
      <c r="CUG29" s="388"/>
      <c r="CUH29" s="388"/>
      <c r="CUI29" s="388"/>
      <c r="CUJ29" s="388"/>
      <c r="CUK29" s="388"/>
      <c r="CUL29" s="388"/>
      <c r="CUM29" s="388"/>
      <c r="CUN29" s="388"/>
      <c r="CUO29" s="388"/>
      <c r="CUP29" s="388"/>
      <c r="CUQ29" s="388"/>
      <c r="CUR29" s="388"/>
      <c r="CUS29" s="388"/>
      <c r="CUT29" s="388"/>
      <c r="CUU29" s="388"/>
      <c r="CUV29" s="388"/>
      <c r="CUW29" s="388"/>
      <c r="CUX29" s="388"/>
      <c r="CUY29" s="388"/>
      <c r="CUZ29" s="388"/>
      <c r="CVA29" s="388"/>
      <c r="CVB29" s="388"/>
      <c r="CVC29" s="388"/>
      <c r="CVD29" s="388"/>
      <c r="CVE29" s="388"/>
      <c r="CVF29" s="388"/>
      <c r="CVG29" s="388"/>
      <c r="CVH29" s="388"/>
      <c r="CVI29" s="388"/>
      <c r="CVJ29" s="388"/>
      <c r="CVK29" s="388"/>
      <c r="CVL29" s="388"/>
      <c r="CVM29" s="388"/>
      <c r="CVN29" s="388"/>
      <c r="CVO29" s="388"/>
      <c r="CVP29" s="388"/>
      <c r="CVQ29" s="388"/>
      <c r="CVR29" s="388"/>
      <c r="CVS29" s="388"/>
      <c r="CVT29" s="388"/>
      <c r="CVU29" s="388"/>
      <c r="CVV29" s="388"/>
      <c r="CVW29" s="388"/>
      <c r="CVX29" s="388"/>
      <c r="CVY29" s="388"/>
      <c r="CVZ29" s="388"/>
      <c r="CWA29" s="388"/>
      <c r="CWB29" s="388"/>
      <c r="CWC29" s="388"/>
      <c r="CWD29" s="388"/>
      <c r="CWE29" s="388"/>
      <c r="CWF29" s="388"/>
      <c r="CWG29" s="388"/>
      <c r="CWH29" s="388"/>
      <c r="CWI29" s="388"/>
      <c r="CWJ29" s="388"/>
      <c r="CWK29" s="388"/>
      <c r="CWL29" s="388"/>
      <c r="CWM29" s="388"/>
      <c r="CWN29" s="388"/>
      <c r="CWO29" s="388"/>
      <c r="CWP29" s="388"/>
      <c r="CWQ29" s="388"/>
      <c r="CWR29" s="388"/>
      <c r="CWS29" s="388"/>
      <c r="CWT29" s="388"/>
      <c r="CWU29" s="388"/>
      <c r="CWV29" s="388"/>
      <c r="CWW29" s="388"/>
      <c r="CWX29" s="388"/>
      <c r="CWY29" s="388"/>
      <c r="CWZ29" s="388"/>
      <c r="CXA29" s="388"/>
      <c r="CXB29" s="388"/>
      <c r="CXC29" s="388"/>
      <c r="CXD29" s="388"/>
      <c r="CXE29" s="388"/>
      <c r="CXF29" s="388"/>
      <c r="CXG29" s="388"/>
      <c r="CXH29" s="388"/>
      <c r="CXI29" s="388"/>
      <c r="CXJ29" s="388"/>
      <c r="CXK29" s="388"/>
      <c r="CXL29" s="388"/>
      <c r="CXM29" s="388"/>
      <c r="CXN29" s="388"/>
      <c r="CXO29" s="388"/>
      <c r="CXP29" s="388"/>
      <c r="CXQ29" s="388"/>
      <c r="CXR29" s="388"/>
      <c r="CXS29" s="388"/>
      <c r="CXT29" s="388"/>
      <c r="CXU29" s="388"/>
      <c r="CXV29" s="388"/>
      <c r="CXW29" s="388"/>
      <c r="CXX29" s="388"/>
      <c r="CXY29" s="388"/>
      <c r="CXZ29" s="388"/>
      <c r="CYA29" s="388"/>
      <c r="CYB29" s="388"/>
      <c r="CYC29" s="388"/>
      <c r="CYD29" s="388"/>
      <c r="CYE29" s="388"/>
      <c r="CYF29" s="388"/>
      <c r="CYG29" s="388"/>
      <c r="CYH29" s="388"/>
      <c r="CYI29" s="388"/>
      <c r="CYJ29" s="388"/>
      <c r="CYK29" s="388"/>
      <c r="CYL29" s="388"/>
      <c r="CYM29" s="388"/>
      <c r="CYN29" s="388"/>
      <c r="CYO29" s="388"/>
      <c r="CYP29" s="388"/>
      <c r="CYQ29" s="388"/>
      <c r="CYR29" s="388"/>
      <c r="CYS29" s="388"/>
      <c r="CYT29" s="388"/>
      <c r="CYU29" s="388"/>
      <c r="CYV29" s="388"/>
      <c r="CYW29" s="388"/>
      <c r="CYX29" s="388"/>
      <c r="CYY29" s="388"/>
      <c r="CYZ29" s="388"/>
      <c r="CZA29" s="388"/>
      <c r="CZB29" s="388"/>
      <c r="CZC29" s="388"/>
      <c r="CZD29" s="388"/>
      <c r="CZE29" s="388"/>
      <c r="CZF29" s="388"/>
      <c r="CZG29" s="388"/>
      <c r="CZH29" s="388"/>
      <c r="CZI29" s="388"/>
      <c r="CZJ29" s="388"/>
      <c r="CZK29" s="388"/>
      <c r="CZL29" s="388"/>
      <c r="CZM29" s="388"/>
      <c r="CZN29" s="388"/>
      <c r="CZO29" s="388"/>
      <c r="CZP29" s="388"/>
      <c r="CZQ29" s="388"/>
      <c r="CZR29" s="388"/>
      <c r="CZS29" s="388"/>
      <c r="CZT29" s="388"/>
      <c r="CZU29" s="388"/>
      <c r="CZV29" s="388"/>
      <c r="CZW29" s="388"/>
      <c r="CZX29" s="388"/>
      <c r="CZY29" s="388"/>
      <c r="CZZ29" s="388"/>
      <c r="DAA29" s="388"/>
      <c r="DAB29" s="388"/>
      <c r="DAC29" s="388"/>
      <c r="DAD29" s="388"/>
      <c r="DAE29" s="388"/>
      <c r="DAF29" s="388"/>
      <c r="DAG29" s="388"/>
      <c r="DAH29" s="388"/>
      <c r="DAI29" s="388"/>
      <c r="DAJ29" s="388"/>
      <c r="DAK29" s="388"/>
      <c r="DAL29" s="388"/>
      <c r="DAM29" s="388"/>
      <c r="DAN29" s="388"/>
      <c r="DAO29" s="388"/>
      <c r="DAP29" s="388"/>
      <c r="DAQ29" s="388"/>
      <c r="DAR29" s="388"/>
      <c r="DAS29" s="388"/>
      <c r="DAT29" s="388"/>
      <c r="DAU29" s="388"/>
      <c r="DAV29" s="388"/>
      <c r="DAW29" s="388"/>
      <c r="DAX29" s="388"/>
      <c r="DAY29" s="388"/>
      <c r="DAZ29" s="388"/>
      <c r="DBA29" s="388"/>
      <c r="DBB29" s="388"/>
      <c r="DBC29" s="388"/>
      <c r="DBD29" s="388"/>
      <c r="DBE29" s="388"/>
      <c r="DBF29" s="388"/>
      <c r="DBG29" s="388"/>
      <c r="DBH29" s="388"/>
      <c r="DBI29" s="388"/>
      <c r="DBJ29" s="388"/>
      <c r="DBK29" s="388"/>
      <c r="DBL29" s="388"/>
      <c r="DBM29" s="388"/>
      <c r="DBN29" s="388"/>
      <c r="DBO29" s="388"/>
      <c r="DBP29" s="388"/>
      <c r="DBQ29" s="388"/>
      <c r="DBR29" s="388"/>
      <c r="DBS29" s="388"/>
      <c r="DBT29" s="388"/>
      <c r="DBU29" s="388"/>
      <c r="DBV29" s="388"/>
      <c r="DBW29" s="388"/>
      <c r="DBX29" s="388"/>
      <c r="DBY29" s="388"/>
      <c r="DBZ29" s="388"/>
      <c r="DCA29" s="388"/>
      <c r="DCB29" s="388"/>
      <c r="DCC29" s="388"/>
      <c r="DCD29" s="388"/>
      <c r="DCE29" s="388"/>
      <c r="DCF29" s="388"/>
      <c r="DCG29" s="388"/>
      <c r="DCH29" s="388"/>
      <c r="DCI29" s="388"/>
      <c r="DCJ29" s="388"/>
      <c r="DCK29" s="388"/>
      <c r="DCL29" s="388"/>
      <c r="DCM29" s="388"/>
      <c r="DCN29" s="388"/>
      <c r="DCO29" s="388"/>
      <c r="DCP29" s="388"/>
      <c r="DCQ29" s="388"/>
      <c r="DCR29" s="388"/>
      <c r="DCS29" s="388"/>
      <c r="DCT29" s="388"/>
      <c r="DCU29" s="388"/>
      <c r="DCV29" s="388"/>
      <c r="DCW29" s="388"/>
      <c r="DCX29" s="388"/>
      <c r="DCY29" s="388"/>
      <c r="DCZ29" s="388"/>
      <c r="DDA29" s="388"/>
      <c r="DDB29" s="388"/>
      <c r="DDC29" s="388"/>
      <c r="DDD29" s="388"/>
      <c r="DDE29" s="388"/>
      <c r="DDF29" s="388"/>
      <c r="DDG29" s="388"/>
      <c r="DDH29" s="388"/>
      <c r="DDI29" s="388"/>
      <c r="DDJ29" s="388"/>
      <c r="DDK29" s="388"/>
      <c r="DDL29" s="388"/>
      <c r="DDM29" s="388"/>
      <c r="DDN29" s="388"/>
      <c r="DDO29" s="388"/>
      <c r="DDP29" s="388"/>
      <c r="DDQ29" s="388"/>
      <c r="DDR29" s="388"/>
      <c r="DDS29" s="388"/>
      <c r="DDT29" s="388"/>
      <c r="DDU29" s="388"/>
      <c r="DDV29" s="388"/>
      <c r="DDW29" s="388"/>
      <c r="DDX29" s="388"/>
      <c r="DDY29" s="388"/>
      <c r="DDZ29" s="388"/>
      <c r="DEA29" s="388"/>
      <c r="DEB29" s="388"/>
      <c r="DEC29" s="388"/>
      <c r="DED29" s="388"/>
      <c r="DEE29" s="388"/>
      <c r="DEF29" s="388"/>
      <c r="DEG29" s="388"/>
      <c r="DEH29" s="388"/>
      <c r="DEI29" s="388"/>
      <c r="DEJ29" s="388"/>
      <c r="DEK29" s="388"/>
      <c r="DEL29" s="388"/>
      <c r="DEM29" s="388"/>
      <c r="DEN29" s="388"/>
      <c r="DEO29" s="388"/>
      <c r="DEP29" s="388"/>
      <c r="DEQ29" s="388"/>
      <c r="DER29" s="388"/>
      <c r="DES29" s="388"/>
      <c r="DET29" s="388"/>
      <c r="DEU29" s="388"/>
      <c r="DEV29" s="388"/>
      <c r="DEW29" s="388"/>
      <c r="DEX29" s="388"/>
      <c r="DEY29" s="388"/>
      <c r="DEZ29" s="388"/>
      <c r="DFA29" s="388"/>
      <c r="DFB29" s="388"/>
      <c r="DFC29" s="388"/>
      <c r="DFD29" s="388"/>
      <c r="DFE29" s="388"/>
      <c r="DFF29" s="388"/>
      <c r="DFG29" s="388"/>
      <c r="DFH29" s="388"/>
      <c r="DFI29" s="388"/>
      <c r="DFJ29" s="388"/>
      <c r="DFK29" s="388"/>
      <c r="DFL29" s="388"/>
      <c r="DFM29" s="388"/>
      <c r="DFN29" s="388"/>
      <c r="DFO29" s="388"/>
      <c r="DFP29" s="388"/>
      <c r="DFQ29" s="388"/>
      <c r="DFR29" s="388"/>
      <c r="DFS29" s="388"/>
      <c r="DFT29" s="388"/>
      <c r="DFU29" s="388"/>
      <c r="DFV29" s="388"/>
      <c r="DFW29" s="388"/>
      <c r="DFX29" s="388"/>
      <c r="DFY29" s="388"/>
      <c r="DFZ29" s="388"/>
      <c r="DGA29" s="388"/>
      <c r="DGB29" s="388"/>
      <c r="DGC29" s="388"/>
      <c r="DGD29" s="388"/>
      <c r="DGE29" s="388"/>
      <c r="DGF29" s="388"/>
      <c r="DGG29" s="388"/>
      <c r="DGH29" s="388"/>
      <c r="DGI29" s="388"/>
      <c r="DGJ29" s="388"/>
      <c r="DGK29" s="388"/>
      <c r="DGL29" s="388"/>
      <c r="DGM29" s="388"/>
      <c r="DGN29" s="388"/>
      <c r="DGO29" s="388"/>
      <c r="DGP29" s="388"/>
      <c r="DGQ29" s="388"/>
      <c r="DGR29" s="388"/>
      <c r="DGS29" s="388"/>
      <c r="DGT29" s="388"/>
      <c r="DGU29" s="388"/>
      <c r="DGV29" s="388"/>
      <c r="DGW29" s="388"/>
      <c r="DGX29" s="388"/>
      <c r="DGY29" s="388"/>
      <c r="DGZ29" s="388"/>
      <c r="DHA29" s="388"/>
      <c r="DHB29" s="388"/>
      <c r="DHC29" s="388"/>
      <c r="DHD29" s="388"/>
      <c r="DHE29" s="388"/>
      <c r="DHF29" s="388"/>
      <c r="DHG29" s="388"/>
      <c r="DHH29" s="388"/>
      <c r="DHI29" s="388"/>
      <c r="DHJ29" s="388"/>
      <c r="DHK29" s="388"/>
      <c r="DHL29" s="388"/>
      <c r="DHM29" s="388"/>
      <c r="DHN29" s="388"/>
      <c r="DHO29" s="388"/>
      <c r="DHP29" s="388"/>
      <c r="DHQ29" s="388"/>
      <c r="DHR29" s="388"/>
      <c r="DHS29" s="388"/>
      <c r="DHT29" s="388"/>
      <c r="DHU29" s="388"/>
      <c r="DHV29" s="388"/>
      <c r="DHW29" s="388"/>
      <c r="DHX29" s="388"/>
      <c r="DHY29" s="388"/>
      <c r="DHZ29" s="388"/>
      <c r="DIA29" s="388"/>
      <c r="DIB29" s="388"/>
      <c r="DIC29" s="388"/>
      <c r="DID29" s="388"/>
      <c r="DIE29" s="388"/>
      <c r="DIF29" s="388"/>
      <c r="DIG29" s="388"/>
      <c r="DIH29" s="388"/>
      <c r="DII29" s="388"/>
      <c r="DIJ29" s="388"/>
      <c r="DIK29" s="388"/>
      <c r="DIL29" s="388"/>
      <c r="DIM29" s="388"/>
      <c r="DIN29" s="388"/>
      <c r="DIO29" s="388"/>
      <c r="DIP29" s="388"/>
      <c r="DIQ29" s="388"/>
      <c r="DIR29" s="388"/>
      <c r="DIS29" s="388"/>
      <c r="DIT29" s="388"/>
      <c r="DIU29" s="388"/>
      <c r="DIV29" s="388"/>
      <c r="DIW29" s="388"/>
      <c r="DIX29" s="388"/>
      <c r="DIY29" s="388"/>
      <c r="DIZ29" s="388"/>
      <c r="DJA29" s="388"/>
      <c r="DJB29" s="388"/>
      <c r="DJC29" s="388"/>
      <c r="DJD29" s="388"/>
      <c r="DJE29" s="388"/>
      <c r="DJF29" s="388"/>
      <c r="DJG29" s="388"/>
      <c r="DJH29" s="388"/>
      <c r="DJI29" s="388"/>
      <c r="DJJ29" s="388"/>
      <c r="DJK29" s="388"/>
      <c r="DJL29" s="388"/>
      <c r="DJM29" s="388"/>
      <c r="DJN29" s="388"/>
      <c r="DJO29" s="388"/>
      <c r="DJP29" s="388"/>
      <c r="DJQ29" s="388"/>
      <c r="DJR29" s="388"/>
      <c r="DJS29" s="388"/>
      <c r="DJT29" s="388"/>
      <c r="DJU29" s="388"/>
      <c r="DJV29" s="388"/>
      <c r="DJW29" s="388"/>
      <c r="DJX29" s="388"/>
      <c r="DJY29" s="388"/>
      <c r="DJZ29" s="388"/>
      <c r="DKA29" s="388"/>
      <c r="DKB29" s="388"/>
      <c r="DKC29" s="388"/>
      <c r="DKD29" s="388"/>
      <c r="DKE29" s="388"/>
      <c r="DKF29" s="388"/>
      <c r="DKG29" s="388"/>
      <c r="DKH29" s="388"/>
      <c r="DKI29" s="388"/>
      <c r="DKJ29" s="388"/>
      <c r="DKK29" s="388"/>
      <c r="DKL29" s="388"/>
      <c r="DKM29" s="388"/>
      <c r="DKN29" s="388"/>
      <c r="DKO29" s="388"/>
      <c r="DKP29" s="388"/>
      <c r="DKQ29" s="388"/>
      <c r="DKR29" s="388"/>
      <c r="DKS29" s="388"/>
      <c r="DKT29" s="388"/>
      <c r="DKU29" s="388"/>
      <c r="DKV29" s="388"/>
      <c r="DKW29" s="388"/>
      <c r="DKX29" s="388"/>
      <c r="DKY29" s="388"/>
      <c r="DKZ29" s="388"/>
      <c r="DLA29" s="388"/>
      <c r="DLB29" s="388"/>
      <c r="DLC29" s="388"/>
      <c r="DLD29" s="388"/>
      <c r="DLE29" s="388"/>
      <c r="DLF29" s="388"/>
      <c r="DLG29" s="388"/>
      <c r="DLH29" s="388"/>
      <c r="DLI29" s="388"/>
      <c r="DLJ29" s="388"/>
      <c r="DLK29" s="388"/>
      <c r="DLL29" s="388"/>
      <c r="DLM29" s="388"/>
      <c r="DLN29" s="388"/>
      <c r="DLO29" s="388"/>
      <c r="DLP29" s="388"/>
      <c r="DLQ29" s="388"/>
      <c r="DLR29" s="388"/>
      <c r="DLS29" s="388"/>
      <c r="DLT29" s="388"/>
      <c r="DLU29" s="388"/>
      <c r="DLV29" s="388"/>
      <c r="DLW29" s="388"/>
      <c r="DLX29" s="388"/>
      <c r="DLY29" s="388"/>
      <c r="DLZ29" s="388"/>
      <c r="DMA29" s="388"/>
      <c r="DMB29" s="388"/>
      <c r="DMC29" s="388"/>
      <c r="DMD29" s="388"/>
      <c r="DME29" s="388"/>
      <c r="DMF29" s="388"/>
      <c r="DMG29" s="388"/>
      <c r="DMH29" s="388"/>
      <c r="DMI29" s="388"/>
      <c r="DMJ29" s="388"/>
      <c r="DMK29" s="388"/>
      <c r="DML29" s="388"/>
      <c r="DMM29" s="388"/>
      <c r="DMN29" s="388"/>
      <c r="DMO29" s="388"/>
      <c r="DMP29" s="388"/>
      <c r="DMQ29" s="388"/>
      <c r="DMR29" s="388"/>
      <c r="DMS29" s="388"/>
      <c r="DMT29" s="388"/>
      <c r="DMU29" s="388"/>
      <c r="DMV29" s="388"/>
      <c r="DMW29" s="388"/>
      <c r="DMX29" s="388"/>
      <c r="DMY29" s="388"/>
      <c r="DMZ29" s="388"/>
      <c r="DNA29" s="388"/>
      <c r="DNB29" s="388"/>
      <c r="DNC29" s="388"/>
      <c r="DND29" s="388"/>
      <c r="DNE29" s="388"/>
      <c r="DNF29" s="388"/>
      <c r="DNG29" s="388"/>
      <c r="DNH29" s="388"/>
      <c r="DNI29" s="388"/>
      <c r="DNJ29" s="388"/>
      <c r="DNK29" s="388"/>
      <c r="DNL29" s="388"/>
      <c r="DNM29" s="388"/>
      <c r="DNN29" s="388"/>
      <c r="DNO29" s="388"/>
      <c r="DNP29" s="388"/>
      <c r="DNQ29" s="388"/>
      <c r="DNR29" s="388"/>
      <c r="DNS29" s="388"/>
      <c r="DNT29" s="388"/>
      <c r="DNU29" s="388"/>
      <c r="DNV29" s="388"/>
      <c r="DNW29" s="388"/>
      <c r="DNX29" s="388"/>
      <c r="DNY29" s="388"/>
      <c r="DNZ29" s="388"/>
      <c r="DOA29" s="388"/>
      <c r="DOB29" s="388"/>
      <c r="DOC29" s="388"/>
      <c r="DOD29" s="388"/>
      <c r="DOE29" s="388"/>
      <c r="DOF29" s="388"/>
      <c r="DOG29" s="388"/>
      <c r="DOH29" s="388"/>
      <c r="DOI29" s="388"/>
      <c r="DOJ29" s="388"/>
      <c r="DOK29" s="388"/>
      <c r="DOL29" s="388"/>
      <c r="DOM29" s="388"/>
      <c r="DON29" s="388"/>
      <c r="DOO29" s="388"/>
      <c r="DOP29" s="388"/>
      <c r="DOQ29" s="388"/>
      <c r="DOR29" s="388"/>
      <c r="DOS29" s="388"/>
      <c r="DOT29" s="388"/>
      <c r="DOU29" s="388"/>
      <c r="DOV29" s="388"/>
      <c r="DOW29" s="388"/>
      <c r="DOX29" s="388"/>
      <c r="DOY29" s="388"/>
      <c r="DOZ29" s="388"/>
      <c r="DPA29" s="388"/>
      <c r="DPB29" s="388"/>
      <c r="DPC29" s="388"/>
      <c r="DPD29" s="388"/>
      <c r="DPE29" s="388"/>
      <c r="DPF29" s="388"/>
      <c r="DPG29" s="388"/>
      <c r="DPH29" s="388"/>
      <c r="DPI29" s="388"/>
      <c r="DPJ29" s="388"/>
      <c r="DPK29" s="388"/>
      <c r="DPL29" s="388"/>
      <c r="DPM29" s="388"/>
      <c r="DPN29" s="388"/>
      <c r="DPO29" s="388"/>
      <c r="DPP29" s="388"/>
      <c r="DPQ29" s="388"/>
      <c r="DPR29" s="388"/>
      <c r="DPS29" s="388"/>
      <c r="DPT29" s="388"/>
      <c r="DPU29" s="388"/>
      <c r="DPV29" s="388"/>
      <c r="DPW29" s="388"/>
      <c r="DPX29" s="388"/>
      <c r="DPY29" s="388"/>
      <c r="DPZ29" s="388"/>
      <c r="DQA29" s="388"/>
      <c r="DQB29" s="388"/>
      <c r="DQC29" s="388"/>
      <c r="DQD29" s="388"/>
      <c r="DQE29" s="388"/>
      <c r="DQF29" s="388"/>
      <c r="DQG29" s="388"/>
      <c r="DQH29" s="388"/>
      <c r="DQI29" s="388"/>
      <c r="DQJ29" s="388"/>
      <c r="DQK29" s="388"/>
      <c r="DQL29" s="388"/>
      <c r="DQM29" s="388"/>
      <c r="DQN29" s="388"/>
      <c r="DQO29" s="388"/>
      <c r="DQP29" s="388"/>
      <c r="DQQ29" s="388"/>
      <c r="DQR29" s="388"/>
      <c r="DQS29" s="388"/>
      <c r="DQT29" s="388"/>
      <c r="DQU29" s="388"/>
      <c r="DQV29" s="388"/>
      <c r="DQW29" s="388"/>
      <c r="DQX29" s="388"/>
      <c r="DQY29" s="388"/>
      <c r="DQZ29" s="388"/>
      <c r="DRA29" s="388"/>
      <c r="DRB29" s="388"/>
      <c r="DRC29" s="388"/>
      <c r="DRD29" s="388"/>
      <c r="DRE29" s="388"/>
      <c r="DRF29" s="388"/>
      <c r="DRG29" s="388"/>
      <c r="DRH29" s="388"/>
      <c r="DRI29" s="388"/>
      <c r="DRJ29" s="388"/>
      <c r="DRK29" s="388"/>
      <c r="DRL29" s="388"/>
      <c r="DRM29" s="388"/>
      <c r="DRN29" s="388"/>
      <c r="DRO29" s="388"/>
      <c r="DRP29" s="388"/>
      <c r="DRQ29" s="388"/>
      <c r="DRR29" s="388"/>
      <c r="DRS29" s="388"/>
      <c r="DRT29" s="388"/>
      <c r="DRU29" s="388"/>
      <c r="DRV29" s="388"/>
      <c r="DRW29" s="388"/>
      <c r="DRX29" s="388"/>
      <c r="DRY29" s="388"/>
      <c r="DRZ29" s="388"/>
      <c r="DSA29" s="388"/>
      <c r="DSB29" s="388"/>
      <c r="DSC29" s="388"/>
      <c r="DSD29" s="388"/>
      <c r="DSE29" s="388"/>
      <c r="DSF29" s="388"/>
      <c r="DSG29" s="388"/>
      <c r="DSH29" s="388"/>
      <c r="DSI29" s="388"/>
      <c r="DSJ29" s="388"/>
      <c r="DSK29" s="388"/>
      <c r="DSL29" s="388"/>
      <c r="DSM29" s="388"/>
      <c r="DSN29" s="388"/>
      <c r="DSO29" s="388"/>
      <c r="DSP29" s="388"/>
      <c r="DSQ29" s="388"/>
      <c r="DSR29" s="388"/>
      <c r="DSS29" s="388"/>
      <c r="DST29" s="388"/>
      <c r="DSU29" s="388"/>
      <c r="DSV29" s="388"/>
      <c r="DSW29" s="388"/>
      <c r="DSX29" s="388"/>
      <c r="DSY29" s="388"/>
      <c r="DSZ29" s="388"/>
      <c r="DTA29" s="388"/>
      <c r="DTB29" s="388"/>
      <c r="DTC29" s="388"/>
      <c r="DTD29" s="388"/>
      <c r="DTE29" s="388"/>
      <c r="DTF29" s="388"/>
      <c r="DTG29" s="388"/>
      <c r="DTH29" s="388"/>
      <c r="DTI29" s="388"/>
      <c r="DTJ29" s="388"/>
      <c r="DTK29" s="388"/>
      <c r="DTL29" s="388"/>
      <c r="DTM29" s="388"/>
      <c r="DTN29" s="388"/>
      <c r="DTO29" s="388"/>
      <c r="DTP29" s="388"/>
      <c r="DTQ29" s="388"/>
      <c r="DTR29" s="388"/>
      <c r="DTS29" s="388"/>
      <c r="DTT29" s="388"/>
      <c r="DTU29" s="388"/>
      <c r="DTV29" s="388"/>
      <c r="DTW29" s="388"/>
      <c r="DTX29" s="388"/>
      <c r="DTY29" s="388"/>
      <c r="DTZ29" s="388"/>
      <c r="DUA29" s="388"/>
      <c r="DUB29" s="388"/>
      <c r="DUC29" s="388"/>
      <c r="DUD29" s="388"/>
      <c r="DUE29" s="388"/>
      <c r="DUF29" s="388"/>
      <c r="DUG29" s="388"/>
      <c r="DUH29" s="388"/>
      <c r="DUI29" s="388"/>
      <c r="DUJ29" s="388"/>
      <c r="DUK29" s="388"/>
      <c r="DUL29" s="388"/>
      <c r="DUM29" s="388"/>
      <c r="DUN29" s="388"/>
      <c r="DUO29" s="388"/>
      <c r="DUP29" s="388"/>
      <c r="DUQ29" s="388"/>
      <c r="DUR29" s="388"/>
      <c r="DUS29" s="388"/>
      <c r="DUT29" s="388"/>
      <c r="DUU29" s="388"/>
      <c r="DUV29" s="388"/>
      <c r="DUW29" s="388"/>
      <c r="DUX29" s="388"/>
      <c r="DUY29" s="388"/>
      <c r="DUZ29" s="388"/>
      <c r="DVA29" s="388"/>
      <c r="DVB29" s="388"/>
      <c r="DVC29" s="388"/>
      <c r="DVD29" s="388"/>
      <c r="DVE29" s="388"/>
      <c r="DVF29" s="388"/>
      <c r="DVG29" s="388"/>
      <c r="DVH29" s="388"/>
      <c r="DVI29" s="388"/>
      <c r="DVJ29" s="388"/>
      <c r="DVK29" s="388"/>
      <c r="DVL29" s="388"/>
      <c r="DVM29" s="388"/>
      <c r="DVN29" s="388"/>
      <c r="DVO29" s="388"/>
      <c r="DVP29" s="388"/>
      <c r="DVQ29" s="388"/>
      <c r="DVR29" s="388"/>
      <c r="DVS29" s="388"/>
      <c r="DVT29" s="388"/>
      <c r="DVU29" s="388"/>
      <c r="DVV29" s="388"/>
      <c r="DVW29" s="388"/>
      <c r="DVX29" s="388"/>
      <c r="DVY29" s="388"/>
      <c r="DVZ29" s="388"/>
      <c r="DWA29" s="388"/>
      <c r="DWB29" s="388"/>
      <c r="DWC29" s="388"/>
      <c r="DWD29" s="388"/>
      <c r="DWE29" s="388"/>
      <c r="DWF29" s="388"/>
      <c r="DWG29" s="388"/>
      <c r="DWH29" s="388"/>
      <c r="DWI29" s="388"/>
      <c r="DWJ29" s="388"/>
      <c r="DWK29" s="388"/>
      <c r="DWL29" s="388"/>
      <c r="DWM29" s="388"/>
      <c r="DWN29" s="388"/>
      <c r="DWO29" s="388"/>
      <c r="DWP29" s="388"/>
      <c r="DWQ29" s="388"/>
      <c r="DWR29" s="388"/>
      <c r="DWS29" s="388"/>
      <c r="DWT29" s="388"/>
      <c r="DWU29" s="388"/>
      <c r="DWV29" s="388"/>
      <c r="DWW29" s="388"/>
      <c r="DWX29" s="388"/>
      <c r="DWY29" s="388"/>
      <c r="DWZ29" s="388"/>
      <c r="DXA29" s="388"/>
      <c r="DXB29" s="388"/>
      <c r="DXC29" s="388"/>
      <c r="DXD29" s="388"/>
      <c r="DXE29" s="388"/>
      <c r="DXF29" s="388"/>
      <c r="DXG29" s="388"/>
      <c r="DXH29" s="388"/>
      <c r="DXI29" s="388"/>
      <c r="DXJ29" s="388"/>
      <c r="DXK29" s="388"/>
      <c r="DXL29" s="388"/>
      <c r="DXM29" s="388"/>
      <c r="DXN29" s="388"/>
      <c r="DXO29" s="388"/>
      <c r="DXP29" s="388"/>
      <c r="DXQ29" s="388"/>
      <c r="DXR29" s="388"/>
      <c r="DXS29" s="388"/>
      <c r="DXT29" s="388"/>
      <c r="DXU29" s="388"/>
      <c r="DXV29" s="388"/>
      <c r="DXW29" s="388"/>
      <c r="DXX29" s="388"/>
      <c r="DXY29" s="388"/>
      <c r="DXZ29" s="388"/>
      <c r="DYA29" s="388"/>
      <c r="DYB29" s="388"/>
      <c r="DYC29" s="388"/>
      <c r="DYD29" s="388"/>
      <c r="DYE29" s="388"/>
      <c r="DYF29" s="388"/>
      <c r="DYG29" s="388"/>
      <c r="DYH29" s="388"/>
      <c r="DYI29" s="388"/>
      <c r="DYJ29" s="388"/>
      <c r="DYK29" s="388"/>
      <c r="DYL29" s="388"/>
      <c r="DYM29" s="388"/>
      <c r="DYN29" s="388"/>
      <c r="DYO29" s="388"/>
      <c r="DYP29" s="388"/>
      <c r="DYQ29" s="388"/>
      <c r="DYR29" s="388"/>
      <c r="DYS29" s="388"/>
      <c r="DYT29" s="388"/>
      <c r="DYU29" s="388"/>
      <c r="DYV29" s="388"/>
      <c r="DYW29" s="388"/>
      <c r="DYX29" s="388"/>
      <c r="DYY29" s="388"/>
      <c r="DYZ29" s="388"/>
      <c r="DZA29" s="388"/>
      <c r="DZB29" s="388"/>
      <c r="DZC29" s="388"/>
      <c r="DZD29" s="388"/>
      <c r="DZE29" s="388"/>
      <c r="DZF29" s="388"/>
      <c r="DZG29" s="388"/>
      <c r="DZH29" s="388"/>
      <c r="DZI29" s="388"/>
      <c r="DZJ29" s="388"/>
      <c r="DZK29" s="388"/>
      <c r="DZL29" s="388"/>
      <c r="DZM29" s="388"/>
      <c r="DZN29" s="388"/>
      <c r="DZO29" s="388"/>
      <c r="DZP29" s="388"/>
      <c r="DZQ29" s="388"/>
      <c r="DZR29" s="388"/>
      <c r="DZS29" s="388"/>
      <c r="DZT29" s="388"/>
      <c r="DZU29" s="388"/>
      <c r="DZV29" s="388"/>
      <c r="DZW29" s="388"/>
      <c r="DZX29" s="388"/>
      <c r="DZY29" s="388"/>
      <c r="DZZ29" s="388"/>
      <c r="EAA29" s="388"/>
      <c r="EAB29" s="388"/>
      <c r="EAC29" s="388"/>
      <c r="EAD29" s="388"/>
      <c r="EAE29" s="388"/>
      <c r="EAF29" s="388"/>
      <c r="EAG29" s="388"/>
      <c r="EAH29" s="388"/>
      <c r="EAI29" s="388"/>
      <c r="EAJ29" s="388"/>
      <c r="EAK29" s="388"/>
      <c r="EAL29" s="388"/>
      <c r="EAM29" s="388"/>
      <c r="EAN29" s="388"/>
      <c r="EAO29" s="388"/>
      <c r="EAP29" s="388"/>
      <c r="EAQ29" s="388"/>
      <c r="EAR29" s="388"/>
      <c r="EAS29" s="388"/>
      <c r="EAT29" s="388"/>
      <c r="EAU29" s="388"/>
      <c r="EAV29" s="388"/>
      <c r="EAW29" s="388"/>
      <c r="EAX29" s="388"/>
      <c r="EAY29" s="388"/>
      <c r="EAZ29" s="388"/>
      <c r="EBA29" s="388"/>
      <c r="EBB29" s="388"/>
      <c r="EBC29" s="388"/>
      <c r="EBD29" s="388"/>
      <c r="EBE29" s="388"/>
      <c r="EBF29" s="388"/>
      <c r="EBG29" s="388"/>
      <c r="EBH29" s="388"/>
      <c r="EBI29" s="388"/>
      <c r="EBJ29" s="388"/>
      <c r="EBK29" s="388"/>
      <c r="EBL29" s="388"/>
      <c r="EBM29" s="388"/>
      <c r="EBN29" s="388"/>
      <c r="EBO29" s="388"/>
      <c r="EBP29" s="388"/>
      <c r="EBQ29" s="388"/>
      <c r="EBR29" s="388"/>
      <c r="EBS29" s="388"/>
      <c r="EBT29" s="388"/>
      <c r="EBU29" s="388"/>
      <c r="EBV29" s="388"/>
      <c r="EBW29" s="388"/>
      <c r="EBX29" s="388"/>
      <c r="EBY29" s="388"/>
      <c r="EBZ29" s="388"/>
      <c r="ECA29" s="388"/>
      <c r="ECB29" s="388"/>
      <c r="ECC29" s="388"/>
      <c r="ECD29" s="388"/>
      <c r="ECE29" s="388"/>
      <c r="ECF29" s="388"/>
      <c r="ECG29" s="388"/>
      <c r="ECH29" s="388"/>
      <c r="ECI29" s="388"/>
      <c r="ECJ29" s="388"/>
      <c r="ECK29" s="388"/>
      <c r="ECL29" s="388"/>
      <c r="ECM29" s="388"/>
      <c r="ECN29" s="388"/>
      <c r="ECO29" s="388"/>
      <c r="ECP29" s="388"/>
      <c r="ECQ29" s="388"/>
      <c r="ECR29" s="388"/>
      <c r="ECS29" s="388"/>
      <c r="ECT29" s="388"/>
      <c r="ECU29" s="388"/>
      <c r="ECV29" s="388"/>
      <c r="ECW29" s="388"/>
      <c r="ECX29" s="388"/>
      <c r="ECY29" s="388"/>
      <c r="ECZ29" s="388"/>
      <c r="EDA29" s="388"/>
      <c r="EDB29" s="388"/>
      <c r="EDC29" s="388"/>
      <c r="EDD29" s="388"/>
      <c r="EDE29" s="388"/>
      <c r="EDF29" s="388"/>
      <c r="EDG29" s="388"/>
      <c r="EDH29" s="388"/>
      <c r="EDI29" s="388"/>
      <c r="EDJ29" s="388"/>
      <c r="EDK29" s="388"/>
      <c r="EDL29" s="388"/>
      <c r="EDM29" s="388"/>
      <c r="EDN29" s="388"/>
      <c r="EDO29" s="388"/>
      <c r="EDP29" s="388"/>
      <c r="EDQ29" s="388"/>
      <c r="EDR29" s="388"/>
      <c r="EDS29" s="388"/>
      <c r="EDT29" s="388"/>
      <c r="EDU29" s="388"/>
      <c r="EDV29" s="388"/>
      <c r="EDW29" s="388"/>
      <c r="EDX29" s="388"/>
      <c r="EDY29" s="388"/>
      <c r="EDZ29" s="388"/>
      <c r="EEA29" s="388"/>
      <c r="EEB29" s="388"/>
      <c r="EEC29" s="388"/>
      <c r="EED29" s="388"/>
      <c r="EEE29" s="388"/>
      <c r="EEF29" s="388"/>
      <c r="EEG29" s="388"/>
      <c r="EEH29" s="388"/>
      <c r="EEI29" s="388"/>
      <c r="EEJ29" s="388"/>
      <c r="EEK29" s="388"/>
      <c r="EEL29" s="388"/>
      <c r="EEM29" s="388"/>
      <c r="EEN29" s="388"/>
      <c r="EEO29" s="388"/>
      <c r="EEP29" s="388"/>
      <c r="EEQ29" s="388"/>
      <c r="EER29" s="388"/>
      <c r="EES29" s="388"/>
      <c r="EET29" s="388"/>
      <c r="EEU29" s="388"/>
      <c r="EEV29" s="388"/>
      <c r="EEW29" s="388"/>
      <c r="EEX29" s="388"/>
      <c r="EEY29" s="388"/>
      <c r="EEZ29" s="388"/>
      <c r="EFA29" s="388"/>
      <c r="EFB29" s="388"/>
      <c r="EFC29" s="388"/>
      <c r="EFD29" s="388"/>
      <c r="EFE29" s="388"/>
      <c r="EFF29" s="388"/>
      <c r="EFG29" s="388"/>
      <c r="EFH29" s="388"/>
      <c r="EFI29" s="388"/>
      <c r="EFJ29" s="388"/>
      <c r="EFK29" s="388"/>
      <c r="EFL29" s="388"/>
      <c r="EFM29" s="388"/>
      <c r="EFN29" s="388"/>
      <c r="EFO29" s="388"/>
      <c r="EFP29" s="388"/>
      <c r="EFQ29" s="388"/>
      <c r="EFR29" s="388"/>
      <c r="EFS29" s="388"/>
      <c r="EFT29" s="388"/>
      <c r="EFU29" s="388"/>
      <c r="EFV29" s="388"/>
      <c r="EFW29" s="388"/>
      <c r="EFX29" s="388"/>
      <c r="EFY29" s="388"/>
      <c r="EFZ29" s="388"/>
      <c r="EGA29" s="388"/>
      <c r="EGB29" s="388"/>
      <c r="EGC29" s="388"/>
      <c r="EGD29" s="388"/>
      <c r="EGE29" s="388"/>
      <c r="EGF29" s="388"/>
      <c r="EGG29" s="388"/>
      <c r="EGH29" s="388"/>
      <c r="EGI29" s="388"/>
      <c r="EGJ29" s="388"/>
      <c r="EGK29" s="388"/>
      <c r="EGL29" s="388"/>
      <c r="EGM29" s="388"/>
      <c r="EGN29" s="388"/>
      <c r="EGO29" s="388"/>
      <c r="EGP29" s="388"/>
      <c r="EGQ29" s="388"/>
      <c r="EGR29" s="388"/>
      <c r="EGS29" s="388"/>
      <c r="EGT29" s="388"/>
      <c r="EGU29" s="388"/>
      <c r="EGV29" s="388"/>
      <c r="EGW29" s="388"/>
      <c r="EGX29" s="388"/>
      <c r="EGY29" s="388"/>
      <c r="EGZ29" s="388"/>
      <c r="EHA29" s="388"/>
      <c r="EHB29" s="388"/>
      <c r="EHC29" s="388"/>
      <c r="EHD29" s="388"/>
      <c r="EHE29" s="388"/>
      <c r="EHF29" s="388"/>
      <c r="EHG29" s="388"/>
      <c r="EHH29" s="388"/>
      <c r="EHI29" s="388"/>
      <c r="EHJ29" s="388"/>
      <c r="EHK29" s="388"/>
      <c r="EHL29" s="388"/>
      <c r="EHM29" s="388"/>
      <c r="EHN29" s="388"/>
      <c r="EHO29" s="388"/>
      <c r="EHP29" s="388"/>
      <c r="EHQ29" s="388"/>
      <c r="EHR29" s="388"/>
      <c r="EHS29" s="388"/>
      <c r="EHT29" s="388"/>
      <c r="EHU29" s="388"/>
      <c r="EHV29" s="388"/>
      <c r="EHW29" s="388"/>
      <c r="EHX29" s="388"/>
      <c r="EHY29" s="388"/>
      <c r="EHZ29" s="388"/>
      <c r="EIA29" s="388"/>
      <c r="EIB29" s="388"/>
      <c r="EIC29" s="388"/>
      <c r="EID29" s="388"/>
      <c r="EIE29" s="388"/>
      <c r="EIF29" s="388"/>
      <c r="EIG29" s="388"/>
      <c r="EIH29" s="388"/>
      <c r="EII29" s="388"/>
      <c r="EIJ29" s="388"/>
      <c r="EIK29" s="388"/>
      <c r="EIL29" s="388"/>
      <c r="EIM29" s="388"/>
      <c r="EIN29" s="388"/>
      <c r="EIO29" s="388"/>
      <c r="EIP29" s="388"/>
      <c r="EIQ29" s="388"/>
      <c r="EIR29" s="388"/>
      <c r="EIS29" s="388"/>
      <c r="EIT29" s="388"/>
      <c r="EIU29" s="388"/>
      <c r="EIV29" s="388"/>
      <c r="EIW29" s="388"/>
      <c r="EIX29" s="388"/>
      <c r="EIY29" s="388"/>
      <c r="EIZ29" s="388"/>
      <c r="EJA29" s="388"/>
      <c r="EJB29" s="388"/>
      <c r="EJC29" s="388"/>
      <c r="EJD29" s="388"/>
      <c r="EJE29" s="388"/>
      <c r="EJF29" s="388"/>
      <c r="EJG29" s="388"/>
      <c r="EJH29" s="388"/>
      <c r="EJI29" s="388"/>
      <c r="EJJ29" s="388"/>
      <c r="EJK29" s="388"/>
      <c r="EJL29" s="388"/>
      <c r="EJM29" s="388"/>
      <c r="EJN29" s="388"/>
      <c r="EJO29" s="388"/>
      <c r="EJP29" s="388"/>
      <c r="EJQ29" s="388"/>
      <c r="EJR29" s="388"/>
      <c r="EJS29" s="388"/>
      <c r="EJT29" s="388"/>
      <c r="EJU29" s="388"/>
      <c r="EJV29" s="388"/>
      <c r="EJW29" s="388"/>
      <c r="EJX29" s="388"/>
      <c r="EJY29" s="388"/>
      <c r="EJZ29" s="388"/>
      <c r="EKA29" s="388"/>
      <c r="EKB29" s="388"/>
      <c r="EKC29" s="388"/>
      <c r="EKD29" s="388"/>
      <c r="EKE29" s="388"/>
      <c r="EKF29" s="388"/>
      <c r="EKG29" s="388"/>
      <c r="EKH29" s="388"/>
      <c r="EKI29" s="388"/>
      <c r="EKJ29" s="388"/>
      <c r="EKK29" s="388"/>
      <c r="EKL29" s="388"/>
      <c r="EKM29" s="388"/>
      <c r="EKN29" s="388"/>
      <c r="EKO29" s="388"/>
      <c r="EKP29" s="388"/>
      <c r="EKQ29" s="388"/>
      <c r="EKR29" s="388"/>
      <c r="EKS29" s="388"/>
      <c r="EKT29" s="388"/>
      <c r="EKU29" s="388"/>
      <c r="EKV29" s="388"/>
      <c r="EKW29" s="388"/>
      <c r="EKX29" s="388"/>
      <c r="EKY29" s="388"/>
      <c r="EKZ29" s="388"/>
      <c r="ELA29" s="388"/>
      <c r="ELB29" s="388"/>
      <c r="ELC29" s="388"/>
      <c r="ELD29" s="388"/>
      <c r="ELE29" s="388"/>
      <c r="ELF29" s="388"/>
      <c r="ELG29" s="388"/>
      <c r="ELH29" s="388"/>
      <c r="ELI29" s="388"/>
      <c r="ELJ29" s="388"/>
      <c r="ELK29" s="388"/>
      <c r="ELL29" s="388"/>
      <c r="ELM29" s="388"/>
      <c r="ELN29" s="388"/>
      <c r="ELO29" s="388"/>
      <c r="ELP29" s="388"/>
      <c r="ELQ29" s="388"/>
      <c r="ELR29" s="388"/>
      <c r="ELS29" s="388"/>
      <c r="ELT29" s="388"/>
      <c r="ELU29" s="388"/>
      <c r="ELV29" s="388"/>
      <c r="ELW29" s="388"/>
      <c r="ELX29" s="388"/>
      <c r="ELY29" s="388"/>
      <c r="ELZ29" s="388"/>
      <c r="EMA29" s="388"/>
      <c r="EMB29" s="388"/>
      <c r="EMC29" s="388"/>
      <c r="EMD29" s="388"/>
      <c r="EME29" s="388"/>
      <c r="EMF29" s="388"/>
      <c r="EMG29" s="388"/>
      <c r="EMH29" s="388"/>
      <c r="EMI29" s="388"/>
      <c r="EMJ29" s="388"/>
      <c r="EMK29" s="388"/>
      <c r="EML29" s="388"/>
      <c r="EMM29" s="388"/>
      <c r="EMN29" s="388"/>
      <c r="EMO29" s="388"/>
      <c r="EMP29" s="388"/>
      <c r="EMQ29" s="388"/>
      <c r="EMR29" s="388"/>
      <c r="EMS29" s="388"/>
      <c r="EMT29" s="388"/>
      <c r="EMU29" s="388"/>
      <c r="EMV29" s="388"/>
      <c r="EMW29" s="388"/>
      <c r="EMX29" s="388"/>
      <c r="EMY29" s="388"/>
      <c r="EMZ29" s="388"/>
      <c r="ENA29" s="388"/>
      <c r="ENB29" s="388"/>
      <c r="ENC29" s="388"/>
      <c r="END29" s="388"/>
      <c r="ENE29" s="388"/>
      <c r="ENF29" s="388"/>
      <c r="ENG29" s="388"/>
      <c r="ENH29" s="388"/>
      <c r="ENI29" s="388"/>
      <c r="ENJ29" s="388"/>
      <c r="ENK29" s="388"/>
      <c r="ENL29" s="388"/>
      <c r="ENM29" s="388"/>
      <c r="ENN29" s="388"/>
      <c r="ENO29" s="388"/>
      <c r="ENP29" s="388"/>
      <c r="ENQ29" s="388"/>
      <c r="ENR29" s="388"/>
      <c r="ENS29" s="388"/>
      <c r="ENT29" s="388"/>
      <c r="ENU29" s="388"/>
      <c r="ENV29" s="388"/>
      <c r="ENW29" s="388"/>
      <c r="ENX29" s="388"/>
      <c r="ENY29" s="388"/>
      <c r="ENZ29" s="388"/>
      <c r="EOA29" s="388"/>
      <c r="EOB29" s="388"/>
      <c r="EOC29" s="388"/>
      <c r="EOD29" s="388"/>
      <c r="EOE29" s="388"/>
      <c r="EOF29" s="388"/>
      <c r="EOG29" s="388"/>
      <c r="EOH29" s="388"/>
      <c r="EOI29" s="388"/>
      <c r="EOJ29" s="388"/>
      <c r="EOK29" s="388"/>
      <c r="EOL29" s="388"/>
      <c r="EOM29" s="388"/>
      <c r="EON29" s="388"/>
      <c r="EOO29" s="388"/>
      <c r="EOP29" s="388"/>
      <c r="EOQ29" s="388"/>
      <c r="EOR29" s="388"/>
      <c r="EOS29" s="388"/>
      <c r="EOT29" s="388"/>
      <c r="EOU29" s="388"/>
      <c r="EOV29" s="388"/>
      <c r="EOW29" s="388"/>
      <c r="EOX29" s="388"/>
      <c r="EOY29" s="388"/>
      <c r="EOZ29" s="388"/>
      <c r="EPA29" s="388"/>
      <c r="EPB29" s="388"/>
      <c r="EPC29" s="388"/>
      <c r="EPD29" s="388"/>
      <c r="EPE29" s="388"/>
      <c r="EPF29" s="388"/>
      <c r="EPG29" s="388"/>
      <c r="EPH29" s="388"/>
      <c r="EPI29" s="388"/>
      <c r="EPJ29" s="388"/>
      <c r="EPK29" s="388"/>
      <c r="EPL29" s="388"/>
      <c r="EPM29" s="388"/>
      <c r="EPN29" s="388"/>
      <c r="EPO29" s="388"/>
      <c r="EPP29" s="388"/>
      <c r="EPQ29" s="388"/>
      <c r="EPR29" s="388"/>
      <c r="EPS29" s="388"/>
      <c r="EPT29" s="388"/>
      <c r="EPU29" s="388"/>
      <c r="EPV29" s="388"/>
      <c r="EPW29" s="388"/>
      <c r="EPX29" s="388"/>
      <c r="EPY29" s="388"/>
      <c r="EPZ29" s="388"/>
      <c r="EQA29" s="388"/>
      <c r="EQB29" s="388"/>
      <c r="EQC29" s="388"/>
      <c r="EQD29" s="388"/>
      <c r="EQE29" s="388"/>
      <c r="EQF29" s="388"/>
      <c r="EQG29" s="388"/>
      <c r="EQH29" s="388"/>
      <c r="EQI29" s="388"/>
      <c r="EQJ29" s="388"/>
      <c r="EQK29" s="388"/>
      <c r="EQL29" s="388"/>
      <c r="EQM29" s="388"/>
      <c r="EQN29" s="388"/>
      <c r="EQO29" s="388"/>
      <c r="EQP29" s="388"/>
      <c r="EQQ29" s="388"/>
      <c r="EQR29" s="388"/>
      <c r="EQS29" s="388"/>
      <c r="EQT29" s="388"/>
      <c r="EQU29" s="388"/>
      <c r="EQV29" s="388"/>
      <c r="EQW29" s="388"/>
      <c r="EQX29" s="388"/>
      <c r="EQY29" s="388"/>
      <c r="EQZ29" s="388"/>
      <c r="ERA29" s="388"/>
      <c r="ERB29" s="388"/>
      <c r="ERC29" s="388"/>
      <c r="ERD29" s="388"/>
      <c r="ERE29" s="388"/>
      <c r="ERF29" s="388"/>
      <c r="ERG29" s="388"/>
      <c r="ERH29" s="388"/>
      <c r="ERI29" s="388"/>
      <c r="ERJ29" s="388"/>
      <c r="ERK29" s="388"/>
      <c r="ERL29" s="388"/>
      <c r="ERM29" s="388"/>
      <c r="ERN29" s="388"/>
      <c r="ERO29" s="388"/>
      <c r="ERP29" s="388"/>
      <c r="ERQ29" s="388"/>
      <c r="ERR29" s="388"/>
      <c r="ERS29" s="388"/>
      <c r="ERT29" s="388"/>
      <c r="ERU29" s="388"/>
      <c r="ERV29" s="388"/>
      <c r="ERW29" s="388"/>
      <c r="ERX29" s="388"/>
      <c r="ERY29" s="388"/>
      <c r="ERZ29" s="388"/>
      <c r="ESA29" s="388"/>
      <c r="ESB29" s="388"/>
      <c r="ESC29" s="388"/>
      <c r="ESD29" s="388"/>
      <c r="ESE29" s="388"/>
      <c r="ESF29" s="388"/>
      <c r="ESG29" s="388"/>
      <c r="ESH29" s="388"/>
      <c r="ESI29" s="388"/>
      <c r="ESJ29" s="388"/>
      <c r="ESK29" s="388"/>
      <c r="ESL29" s="388"/>
      <c r="ESM29" s="388"/>
      <c r="ESN29" s="388"/>
      <c r="ESO29" s="388"/>
      <c r="ESP29" s="388"/>
      <c r="ESQ29" s="388"/>
      <c r="ESR29" s="388"/>
      <c r="ESS29" s="388"/>
      <c r="EST29" s="388"/>
      <c r="ESU29" s="388"/>
      <c r="ESV29" s="388"/>
      <c r="ESW29" s="388"/>
      <c r="ESX29" s="388"/>
      <c r="ESY29" s="388"/>
      <c r="ESZ29" s="388"/>
      <c r="ETA29" s="388"/>
      <c r="ETB29" s="388"/>
      <c r="ETC29" s="388"/>
      <c r="ETD29" s="388"/>
      <c r="ETE29" s="388"/>
      <c r="ETF29" s="388"/>
      <c r="ETG29" s="388"/>
      <c r="ETH29" s="388"/>
      <c r="ETI29" s="388"/>
      <c r="ETJ29" s="388"/>
      <c r="ETK29" s="388"/>
      <c r="ETL29" s="388"/>
      <c r="ETM29" s="388"/>
      <c r="ETN29" s="388"/>
      <c r="ETO29" s="388"/>
      <c r="ETP29" s="388"/>
      <c r="ETQ29" s="388"/>
      <c r="ETR29" s="388"/>
      <c r="ETS29" s="388"/>
      <c r="ETT29" s="388"/>
      <c r="ETU29" s="388"/>
      <c r="ETV29" s="388"/>
      <c r="ETW29" s="388"/>
      <c r="ETX29" s="388"/>
      <c r="ETY29" s="388"/>
      <c r="ETZ29" s="388"/>
      <c r="EUA29" s="388"/>
      <c r="EUB29" s="388"/>
      <c r="EUC29" s="388"/>
      <c r="EUD29" s="388"/>
      <c r="EUE29" s="388"/>
      <c r="EUF29" s="388"/>
      <c r="EUG29" s="388"/>
      <c r="EUH29" s="388"/>
      <c r="EUI29" s="388"/>
      <c r="EUJ29" s="388"/>
      <c r="EUK29" s="388"/>
      <c r="EUL29" s="388"/>
      <c r="EUM29" s="388"/>
      <c r="EUN29" s="388"/>
      <c r="EUO29" s="388"/>
      <c r="EUP29" s="388"/>
      <c r="EUQ29" s="388"/>
      <c r="EUR29" s="388"/>
      <c r="EUS29" s="388"/>
      <c r="EUT29" s="388"/>
      <c r="EUU29" s="388"/>
      <c r="EUV29" s="388"/>
      <c r="EUW29" s="388"/>
      <c r="EUX29" s="388"/>
      <c r="EUY29" s="388"/>
      <c r="EUZ29" s="388"/>
      <c r="EVA29" s="388"/>
      <c r="EVB29" s="388"/>
      <c r="EVC29" s="388"/>
      <c r="EVD29" s="388"/>
      <c r="EVE29" s="388"/>
      <c r="EVF29" s="388"/>
      <c r="EVG29" s="388"/>
      <c r="EVH29" s="388"/>
      <c r="EVI29" s="388"/>
      <c r="EVJ29" s="388"/>
      <c r="EVK29" s="388"/>
      <c r="EVL29" s="388"/>
      <c r="EVM29" s="388"/>
      <c r="EVN29" s="388"/>
      <c r="EVO29" s="388"/>
      <c r="EVP29" s="388"/>
      <c r="EVQ29" s="388"/>
      <c r="EVR29" s="388"/>
      <c r="EVS29" s="388"/>
      <c r="EVT29" s="388"/>
      <c r="EVU29" s="388"/>
      <c r="EVV29" s="388"/>
      <c r="EVW29" s="388"/>
      <c r="EVX29" s="388"/>
      <c r="EVY29" s="388"/>
      <c r="EVZ29" s="388"/>
      <c r="EWA29" s="388"/>
      <c r="EWB29" s="388"/>
      <c r="EWC29" s="388"/>
      <c r="EWD29" s="388"/>
      <c r="EWE29" s="388"/>
      <c r="EWF29" s="388"/>
      <c r="EWG29" s="388"/>
      <c r="EWH29" s="388"/>
      <c r="EWI29" s="388"/>
      <c r="EWJ29" s="388"/>
      <c r="EWK29" s="388"/>
      <c r="EWL29" s="388"/>
      <c r="EWM29" s="388"/>
      <c r="EWN29" s="388"/>
      <c r="EWO29" s="388"/>
      <c r="EWP29" s="388"/>
      <c r="EWQ29" s="388"/>
      <c r="EWR29" s="388"/>
      <c r="EWS29" s="388"/>
      <c r="EWT29" s="388"/>
      <c r="EWU29" s="388"/>
      <c r="EWV29" s="388"/>
      <c r="EWW29" s="388"/>
      <c r="EWX29" s="388"/>
      <c r="EWY29" s="388"/>
      <c r="EWZ29" s="388"/>
      <c r="EXA29" s="388"/>
      <c r="EXB29" s="388"/>
      <c r="EXC29" s="388"/>
      <c r="EXD29" s="388"/>
      <c r="EXE29" s="388"/>
      <c r="EXF29" s="388"/>
      <c r="EXG29" s="388"/>
      <c r="EXH29" s="388"/>
      <c r="EXI29" s="388"/>
      <c r="EXJ29" s="388"/>
      <c r="EXK29" s="388"/>
      <c r="EXL29" s="388"/>
      <c r="EXM29" s="388"/>
      <c r="EXN29" s="388"/>
      <c r="EXO29" s="388"/>
      <c r="EXP29" s="388"/>
      <c r="EXQ29" s="388"/>
      <c r="EXR29" s="388"/>
      <c r="EXS29" s="388"/>
      <c r="EXT29" s="388"/>
      <c r="EXU29" s="388"/>
      <c r="EXV29" s="388"/>
      <c r="EXW29" s="388"/>
      <c r="EXX29" s="388"/>
      <c r="EXY29" s="388"/>
      <c r="EXZ29" s="388"/>
      <c r="EYA29" s="388"/>
      <c r="EYB29" s="388"/>
      <c r="EYC29" s="388"/>
      <c r="EYD29" s="388"/>
      <c r="EYE29" s="388"/>
      <c r="EYF29" s="388"/>
      <c r="EYG29" s="388"/>
      <c r="EYH29" s="388"/>
      <c r="EYI29" s="388"/>
      <c r="EYJ29" s="388"/>
      <c r="EYK29" s="388"/>
      <c r="EYL29" s="388"/>
      <c r="EYM29" s="388"/>
      <c r="EYN29" s="388"/>
      <c r="EYO29" s="388"/>
      <c r="EYP29" s="388"/>
      <c r="EYQ29" s="388"/>
      <c r="EYR29" s="388"/>
      <c r="EYS29" s="388"/>
      <c r="EYT29" s="388"/>
      <c r="EYU29" s="388"/>
      <c r="EYV29" s="388"/>
      <c r="EYW29" s="388"/>
      <c r="EYX29" s="388"/>
      <c r="EYY29" s="388"/>
      <c r="EYZ29" s="388"/>
      <c r="EZA29" s="388"/>
      <c r="EZB29" s="388"/>
      <c r="EZC29" s="388"/>
      <c r="EZD29" s="388"/>
      <c r="EZE29" s="388"/>
      <c r="EZF29" s="388"/>
      <c r="EZG29" s="388"/>
      <c r="EZH29" s="388"/>
      <c r="EZI29" s="388"/>
      <c r="EZJ29" s="388"/>
      <c r="EZK29" s="388"/>
      <c r="EZL29" s="388"/>
      <c r="EZM29" s="388"/>
      <c r="EZN29" s="388"/>
      <c r="EZO29" s="388"/>
      <c r="EZP29" s="388"/>
      <c r="EZQ29" s="388"/>
      <c r="EZR29" s="388"/>
      <c r="EZS29" s="388"/>
      <c r="EZT29" s="388"/>
      <c r="EZU29" s="388"/>
      <c r="EZV29" s="388"/>
      <c r="EZW29" s="388"/>
      <c r="EZX29" s="388"/>
      <c r="EZY29" s="388"/>
      <c r="EZZ29" s="388"/>
      <c r="FAA29" s="388"/>
      <c r="FAB29" s="388"/>
      <c r="FAC29" s="388"/>
      <c r="FAD29" s="388"/>
      <c r="FAE29" s="388"/>
      <c r="FAF29" s="388"/>
      <c r="FAG29" s="388"/>
      <c r="FAH29" s="388"/>
      <c r="FAI29" s="388"/>
      <c r="FAJ29" s="388"/>
      <c r="FAK29" s="388"/>
      <c r="FAL29" s="388"/>
      <c r="FAM29" s="388"/>
      <c r="FAN29" s="388"/>
      <c r="FAO29" s="388"/>
      <c r="FAP29" s="388"/>
      <c r="FAQ29" s="388"/>
      <c r="FAR29" s="388"/>
      <c r="FAS29" s="388"/>
      <c r="FAT29" s="388"/>
      <c r="FAU29" s="388"/>
      <c r="FAV29" s="388"/>
      <c r="FAW29" s="388"/>
      <c r="FAX29" s="388"/>
      <c r="FAY29" s="388"/>
      <c r="FAZ29" s="388"/>
      <c r="FBA29" s="388"/>
      <c r="FBB29" s="388"/>
      <c r="FBC29" s="388"/>
      <c r="FBD29" s="388"/>
      <c r="FBE29" s="388"/>
      <c r="FBF29" s="388"/>
      <c r="FBG29" s="388"/>
      <c r="FBH29" s="388"/>
      <c r="FBI29" s="388"/>
      <c r="FBJ29" s="388"/>
      <c r="FBK29" s="388"/>
      <c r="FBL29" s="388"/>
      <c r="FBM29" s="388"/>
      <c r="FBN29" s="388"/>
      <c r="FBO29" s="388"/>
      <c r="FBP29" s="388"/>
      <c r="FBQ29" s="388"/>
      <c r="FBR29" s="388"/>
      <c r="FBS29" s="388"/>
      <c r="FBT29" s="388"/>
      <c r="FBU29" s="388"/>
      <c r="FBV29" s="388"/>
      <c r="FBW29" s="388"/>
      <c r="FBX29" s="388"/>
      <c r="FBY29" s="388"/>
      <c r="FBZ29" s="388"/>
      <c r="FCA29" s="388"/>
      <c r="FCB29" s="388"/>
      <c r="FCC29" s="388"/>
      <c r="FCD29" s="388"/>
      <c r="FCE29" s="388"/>
      <c r="FCF29" s="388"/>
      <c r="FCG29" s="388"/>
      <c r="FCH29" s="388"/>
      <c r="FCI29" s="388"/>
      <c r="FCJ29" s="388"/>
      <c r="FCK29" s="388"/>
      <c r="FCL29" s="388"/>
      <c r="FCM29" s="388"/>
      <c r="FCN29" s="388"/>
      <c r="FCO29" s="388"/>
      <c r="FCP29" s="388"/>
      <c r="FCQ29" s="388"/>
      <c r="FCR29" s="388"/>
      <c r="FCS29" s="388"/>
      <c r="FCT29" s="388"/>
      <c r="FCU29" s="388"/>
      <c r="FCV29" s="388"/>
      <c r="FCW29" s="388"/>
      <c r="FCX29" s="388"/>
      <c r="FCY29" s="388"/>
      <c r="FCZ29" s="388"/>
      <c r="FDA29" s="388"/>
      <c r="FDB29" s="388"/>
      <c r="FDC29" s="388"/>
      <c r="FDD29" s="388"/>
      <c r="FDE29" s="388"/>
      <c r="FDF29" s="388"/>
      <c r="FDG29" s="388"/>
      <c r="FDH29" s="388"/>
      <c r="FDI29" s="388"/>
      <c r="FDJ29" s="388"/>
      <c r="FDK29" s="388"/>
      <c r="FDL29" s="388"/>
      <c r="FDM29" s="388"/>
      <c r="FDN29" s="388"/>
      <c r="FDO29" s="388"/>
      <c r="FDP29" s="388"/>
      <c r="FDQ29" s="388"/>
      <c r="FDR29" s="388"/>
      <c r="FDS29" s="388"/>
      <c r="FDT29" s="388"/>
      <c r="FDU29" s="388"/>
      <c r="FDV29" s="388"/>
      <c r="FDW29" s="388"/>
      <c r="FDX29" s="388"/>
      <c r="FDY29" s="388"/>
      <c r="FDZ29" s="388"/>
      <c r="FEA29" s="388"/>
      <c r="FEB29" s="388"/>
      <c r="FEC29" s="388"/>
      <c r="FED29" s="388"/>
      <c r="FEE29" s="388"/>
      <c r="FEF29" s="388"/>
      <c r="FEG29" s="388"/>
      <c r="FEH29" s="388"/>
      <c r="FEI29" s="388"/>
      <c r="FEJ29" s="388"/>
      <c r="FEK29" s="388"/>
      <c r="FEL29" s="388"/>
      <c r="FEM29" s="388"/>
      <c r="FEN29" s="388"/>
      <c r="FEO29" s="388"/>
      <c r="FEP29" s="388"/>
      <c r="FEQ29" s="388"/>
      <c r="FER29" s="388"/>
      <c r="FES29" s="388"/>
      <c r="FET29" s="388"/>
      <c r="FEU29" s="388"/>
      <c r="FEV29" s="388"/>
      <c r="FEW29" s="388"/>
      <c r="FEX29" s="388"/>
      <c r="FEY29" s="388"/>
      <c r="FEZ29" s="388"/>
      <c r="FFA29" s="388"/>
      <c r="FFB29" s="388"/>
      <c r="FFC29" s="388"/>
      <c r="FFD29" s="388"/>
      <c r="FFE29" s="388"/>
      <c r="FFF29" s="388"/>
      <c r="FFG29" s="388"/>
      <c r="FFH29" s="388"/>
      <c r="FFI29" s="388"/>
      <c r="FFJ29" s="388"/>
      <c r="FFK29" s="388"/>
      <c r="FFL29" s="388"/>
      <c r="FFM29" s="388"/>
      <c r="FFN29" s="388"/>
      <c r="FFO29" s="388"/>
      <c r="FFP29" s="388"/>
      <c r="FFQ29" s="388"/>
      <c r="FFR29" s="388"/>
      <c r="FFS29" s="388"/>
      <c r="FFT29" s="388"/>
      <c r="FFU29" s="388"/>
      <c r="FFV29" s="388"/>
      <c r="FFW29" s="388"/>
      <c r="FFX29" s="388"/>
      <c r="FFY29" s="388"/>
      <c r="FFZ29" s="388"/>
      <c r="FGA29" s="388"/>
      <c r="FGB29" s="388"/>
      <c r="FGC29" s="388"/>
      <c r="FGD29" s="388"/>
      <c r="FGE29" s="388"/>
      <c r="FGF29" s="388"/>
      <c r="FGG29" s="388"/>
      <c r="FGH29" s="388"/>
      <c r="FGI29" s="388"/>
      <c r="FGJ29" s="388"/>
      <c r="FGK29" s="388"/>
      <c r="FGL29" s="388"/>
      <c r="FGM29" s="388"/>
      <c r="FGN29" s="388"/>
      <c r="FGO29" s="388"/>
      <c r="FGP29" s="388"/>
      <c r="FGQ29" s="388"/>
      <c r="FGR29" s="388"/>
      <c r="FGS29" s="388"/>
      <c r="FGT29" s="388"/>
      <c r="FGU29" s="388"/>
      <c r="FGV29" s="388"/>
      <c r="FGW29" s="388"/>
      <c r="FGX29" s="388"/>
      <c r="FGY29" s="388"/>
      <c r="FGZ29" s="388"/>
      <c r="FHA29" s="388"/>
      <c r="FHB29" s="388"/>
      <c r="FHC29" s="388"/>
      <c r="FHD29" s="388"/>
      <c r="FHE29" s="388"/>
      <c r="FHF29" s="388"/>
      <c r="FHG29" s="388"/>
      <c r="FHH29" s="388"/>
      <c r="FHI29" s="388"/>
      <c r="FHJ29" s="388"/>
      <c r="FHK29" s="388"/>
      <c r="FHL29" s="388"/>
      <c r="FHM29" s="388"/>
      <c r="FHN29" s="388"/>
      <c r="FHO29" s="388"/>
      <c r="FHP29" s="388"/>
      <c r="FHQ29" s="388"/>
      <c r="FHR29" s="388"/>
      <c r="FHS29" s="388"/>
      <c r="FHT29" s="388"/>
      <c r="FHU29" s="388"/>
      <c r="FHV29" s="388"/>
      <c r="FHW29" s="388"/>
      <c r="FHX29" s="388"/>
      <c r="FHY29" s="388"/>
      <c r="FHZ29" s="388"/>
      <c r="FIA29" s="388"/>
      <c r="FIB29" s="388"/>
      <c r="FIC29" s="388"/>
      <c r="FID29" s="388"/>
      <c r="FIE29" s="388"/>
      <c r="FIF29" s="388"/>
      <c r="FIG29" s="388"/>
      <c r="FIH29" s="388"/>
      <c r="FII29" s="388"/>
      <c r="FIJ29" s="388"/>
      <c r="FIK29" s="388"/>
      <c r="FIL29" s="388"/>
      <c r="FIM29" s="388"/>
      <c r="FIN29" s="388"/>
      <c r="FIO29" s="388"/>
      <c r="FIP29" s="388"/>
      <c r="FIQ29" s="388"/>
      <c r="FIR29" s="388"/>
      <c r="FIS29" s="388"/>
      <c r="FIT29" s="388"/>
      <c r="FIU29" s="388"/>
      <c r="FIV29" s="388"/>
      <c r="FIW29" s="388"/>
      <c r="FIX29" s="388"/>
      <c r="FIY29" s="388"/>
      <c r="FIZ29" s="388"/>
      <c r="FJA29" s="388"/>
      <c r="FJB29" s="388"/>
      <c r="FJC29" s="388"/>
      <c r="FJD29" s="388"/>
      <c r="FJE29" s="388"/>
      <c r="FJF29" s="388"/>
      <c r="FJG29" s="388"/>
      <c r="FJH29" s="388"/>
      <c r="FJI29" s="388"/>
      <c r="FJJ29" s="388"/>
      <c r="FJK29" s="388"/>
      <c r="FJL29" s="388"/>
      <c r="FJM29" s="388"/>
      <c r="FJN29" s="388"/>
      <c r="FJO29" s="388"/>
      <c r="FJP29" s="388"/>
      <c r="FJQ29" s="388"/>
      <c r="FJR29" s="388"/>
      <c r="FJS29" s="388"/>
      <c r="FJT29" s="388"/>
      <c r="FJU29" s="388"/>
      <c r="FJV29" s="388"/>
      <c r="FJW29" s="388"/>
      <c r="FJX29" s="388"/>
      <c r="FJY29" s="388"/>
      <c r="FJZ29" s="388"/>
      <c r="FKA29" s="388"/>
      <c r="FKB29" s="388"/>
      <c r="FKC29" s="388"/>
      <c r="FKD29" s="388"/>
      <c r="FKE29" s="388"/>
      <c r="FKF29" s="388"/>
      <c r="FKG29" s="388"/>
      <c r="FKH29" s="388"/>
      <c r="FKI29" s="388"/>
      <c r="FKJ29" s="388"/>
      <c r="FKK29" s="388"/>
      <c r="FKL29" s="388"/>
      <c r="FKM29" s="388"/>
      <c r="FKN29" s="388"/>
      <c r="FKO29" s="388"/>
      <c r="FKP29" s="388"/>
      <c r="FKQ29" s="388"/>
      <c r="FKR29" s="388"/>
      <c r="FKS29" s="388"/>
      <c r="FKT29" s="388"/>
      <c r="FKU29" s="388"/>
      <c r="FKV29" s="388"/>
      <c r="FKW29" s="388"/>
      <c r="FKX29" s="388"/>
      <c r="FKY29" s="388"/>
      <c r="FKZ29" s="388"/>
      <c r="FLA29" s="388"/>
      <c r="FLB29" s="388"/>
      <c r="FLC29" s="388"/>
      <c r="FLD29" s="388"/>
      <c r="FLE29" s="388"/>
      <c r="FLF29" s="388"/>
      <c r="FLG29" s="388"/>
      <c r="FLH29" s="388"/>
      <c r="FLI29" s="388"/>
      <c r="FLJ29" s="388"/>
      <c r="FLK29" s="388"/>
      <c r="FLL29" s="388"/>
      <c r="FLM29" s="388"/>
      <c r="FLN29" s="388"/>
      <c r="FLO29" s="388"/>
      <c r="FLP29" s="388"/>
      <c r="FLQ29" s="388"/>
      <c r="FLR29" s="388"/>
      <c r="FLS29" s="388"/>
      <c r="FLT29" s="388"/>
      <c r="FLU29" s="388"/>
      <c r="FLV29" s="388"/>
      <c r="FLW29" s="388"/>
      <c r="FLX29" s="388"/>
      <c r="FLY29" s="388"/>
      <c r="FLZ29" s="388"/>
      <c r="FMA29" s="388"/>
      <c r="FMB29" s="388"/>
      <c r="FMC29" s="388"/>
      <c r="FMD29" s="388"/>
      <c r="FME29" s="388"/>
      <c r="FMF29" s="388"/>
      <c r="FMG29" s="388"/>
      <c r="FMH29" s="388"/>
      <c r="FMI29" s="388"/>
      <c r="FMJ29" s="388"/>
      <c r="FMK29" s="388"/>
      <c r="FML29" s="388"/>
      <c r="FMM29" s="388"/>
      <c r="FMN29" s="388"/>
      <c r="FMO29" s="388"/>
      <c r="FMP29" s="388"/>
      <c r="FMQ29" s="388"/>
      <c r="FMR29" s="388"/>
      <c r="FMS29" s="388"/>
      <c r="FMT29" s="388"/>
      <c r="FMU29" s="388"/>
      <c r="FMV29" s="388"/>
      <c r="FMW29" s="388"/>
      <c r="FMX29" s="388"/>
      <c r="FMY29" s="388"/>
      <c r="FMZ29" s="388"/>
      <c r="FNA29" s="388"/>
      <c r="FNB29" s="388"/>
      <c r="FNC29" s="388"/>
      <c r="FND29" s="388"/>
      <c r="FNE29" s="388"/>
      <c r="FNF29" s="388"/>
      <c r="FNG29" s="388"/>
      <c r="FNH29" s="388"/>
      <c r="FNI29" s="388"/>
      <c r="FNJ29" s="388"/>
      <c r="FNK29" s="388"/>
      <c r="FNL29" s="388"/>
      <c r="FNM29" s="388"/>
      <c r="FNN29" s="388"/>
      <c r="FNO29" s="388"/>
      <c r="FNP29" s="388"/>
      <c r="FNQ29" s="388"/>
      <c r="FNR29" s="388"/>
      <c r="FNS29" s="388"/>
      <c r="FNT29" s="388"/>
      <c r="FNU29" s="388"/>
      <c r="FNV29" s="388"/>
      <c r="FNW29" s="388"/>
      <c r="FNX29" s="388"/>
      <c r="FNY29" s="388"/>
      <c r="FNZ29" s="388"/>
      <c r="FOA29" s="388"/>
      <c r="FOB29" s="388"/>
      <c r="FOC29" s="388"/>
      <c r="FOD29" s="388"/>
      <c r="FOE29" s="388"/>
      <c r="FOF29" s="388"/>
      <c r="FOG29" s="388"/>
      <c r="FOH29" s="388"/>
      <c r="FOI29" s="388"/>
      <c r="FOJ29" s="388"/>
      <c r="FOK29" s="388"/>
      <c r="FOL29" s="388"/>
      <c r="FOM29" s="388"/>
      <c r="FON29" s="388"/>
      <c r="FOO29" s="388"/>
      <c r="FOP29" s="388"/>
      <c r="FOQ29" s="388"/>
      <c r="FOR29" s="388"/>
      <c r="FOS29" s="388"/>
      <c r="FOT29" s="388"/>
      <c r="FOU29" s="388"/>
      <c r="FOV29" s="388"/>
      <c r="FOW29" s="388"/>
      <c r="FOX29" s="388"/>
      <c r="FOY29" s="388"/>
      <c r="FOZ29" s="388"/>
      <c r="FPA29" s="388"/>
      <c r="FPB29" s="388"/>
      <c r="FPC29" s="388"/>
      <c r="FPD29" s="388"/>
      <c r="FPE29" s="388"/>
      <c r="FPF29" s="388"/>
      <c r="FPG29" s="388"/>
      <c r="FPH29" s="388"/>
      <c r="FPI29" s="388"/>
      <c r="FPJ29" s="388"/>
      <c r="FPK29" s="388"/>
      <c r="FPL29" s="388"/>
      <c r="FPM29" s="388"/>
      <c r="FPN29" s="388"/>
      <c r="FPO29" s="388"/>
      <c r="FPP29" s="388"/>
      <c r="FPQ29" s="388"/>
      <c r="FPR29" s="388"/>
      <c r="FPS29" s="388"/>
      <c r="FPT29" s="388"/>
      <c r="FPU29" s="388"/>
      <c r="FPV29" s="388"/>
      <c r="FPW29" s="388"/>
      <c r="FPX29" s="388"/>
      <c r="FPY29" s="388"/>
      <c r="FPZ29" s="388"/>
      <c r="FQA29" s="388"/>
      <c r="FQB29" s="388"/>
      <c r="FQC29" s="388"/>
      <c r="FQD29" s="388"/>
      <c r="FQE29" s="388"/>
      <c r="FQF29" s="388"/>
      <c r="FQG29" s="388"/>
      <c r="FQH29" s="388"/>
      <c r="FQI29" s="388"/>
      <c r="FQJ29" s="388"/>
      <c r="FQK29" s="388"/>
      <c r="FQL29" s="388"/>
      <c r="FQM29" s="388"/>
      <c r="FQN29" s="388"/>
      <c r="FQO29" s="388"/>
      <c r="FQP29" s="388"/>
      <c r="FQQ29" s="388"/>
      <c r="FQR29" s="388"/>
      <c r="FQS29" s="388"/>
      <c r="FQT29" s="388"/>
      <c r="FQU29" s="388"/>
      <c r="FQV29" s="388"/>
      <c r="FQW29" s="388"/>
      <c r="FQX29" s="388"/>
      <c r="FQY29" s="388"/>
      <c r="FQZ29" s="388"/>
      <c r="FRA29" s="388"/>
      <c r="FRB29" s="388"/>
      <c r="FRC29" s="388"/>
      <c r="FRD29" s="388"/>
      <c r="FRE29" s="388"/>
      <c r="FRF29" s="388"/>
      <c r="FRG29" s="388"/>
      <c r="FRH29" s="388"/>
      <c r="FRI29" s="388"/>
      <c r="FRJ29" s="388"/>
      <c r="FRK29" s="388"/>
      <c r="FRL29" s="388"/>
      <c r="FRM29" s="388"/>
      <c r="FRN29" s="388"/>
      <c r="FRO29" s="388"/>
      <c r="FRP29" s="388"/>
      <c r="FRQ29" s="388"/>
      <c r="FRR29" s="388"/>
      <c r="FRS29" s="388"/>
      <c r="FRT29" s="388"/>
      <c r="FRU29" s="388"/>
      <c r="FRV29" s="388"/>
      <c r="FRW29" s="388"/>
      <c r="FRX29" s="388"/>
      <c r="FRY29" s="388"/>
      <c r="FRZ29" s="388"/>
      <c r="FSA29" s="388"/>
      <c r="FSB29" s="388"/>
      <c r="FSC29" s="388"/>
      <c r="FSD29" s="388"/>
      <c r="FSE29" s="388"/>
      <c r="FSF29" s="388"/>
      <c r="FSG29" s="388"/>
      <c r="FSH29" s="388"/>
      <c r="FSI29" s="388"/>
      <c r="FSJ29" s="388"/>
      <c r="FSK29" s="388"/>
      <c r="FSL29" s="388"/>
      <c r="FSM29" s="388"/>
      <c r="FSN29" s="388"/>
      <c r="FSO29" s="388"/>
      <c r="FSP29" s="388"/>
      <c r="FSQ29" s="388"/>
      <c r="FSR29" s="388"/>
      <c r="FSS29" s="388"/>
      <c r="FST29" s="388"/>
      <c r="FSU29" s="388"/>
      <c r="FSV29" s="388"/>
      <c r="FSW29" s="388"/>
      <c r="FSX29" s="388"/>
      <c r="FSY29" s="388"/>
      <c r="FSZ29" s="388"/>
      <c r="FTA29" s="388"/>
      <c r="FTB29" s="388"/>
      <c r="FTC29" s="388"/>
      <c r="FTD29" s="388"/>
      <c r="FTE29" s="388"/>
      <c r="FTF29" s="388"/>
      <c r="FTG29" s="388"/>
      <c r="FTH29" s="388"/>
      <c r="FTI29" s="388"/>
      <c r="FTJ29" s="388"/>
      <c r="FTK29" s="388"/>
      <c r="FTL29" s="388"/>
      <c r="FTM29" s="388"/>
      <c r="FTN29" s="388"/>
      <c r="FTO29" s="388"/>
      <c r="FTP29" s="388"/>
      <c r="FTQ29" s="388"/>
      <c r="FTR29" s="388"/>
      <c r="FTS29" s="388"/>
      <c r="FTT29" s="388"/>
      <c r="FTU29" s="388"/>
      <c r="FTV29" s="388"/>
      <c r="FTW29" s="388"/>
      <c r="FTX29" s="388"/>
      <c r="FTY29" s="388"/>
      <c r="FTZ29" s="388"/>
      <c r="FUA29" s="388"/>
      <c r="FUB29" s="388"/>
      <c r="FUC29" s="388"/>
      <c r="FUD29" s="388"/>
      <c r="FUE29" s="388"/>
      <c r="FUF29" s="388"/>
      <c r="FUG29" s="388"/>
      <c r="FUH29" s="388"/>
      <c r="FUI29" s="388"/>
      <c r="FUJ29" s="388"/>
      <c r="FUK29" s="388"/>
      <c r="FUL29" s="388"/>
      <c r="FUM29" s="388"/>
      <c r="FUN29" s="388"/>
      <c r="FUO29" s="388"/>
      <c r="FUP29" s="388"/>
      <c r="FUQ29" s="388"/>
      <c r="FUR29" s="388"/>
      <c r="FUS29" s="388"/>
      <c r="FUT29" s="388"/>
      <c r="FUU29" s="388"/>
      <c r="FUV29" s="388"/>
      <c r="FUW29" s="388"/>
      <c r="FUX29" s="388"/>
      <c r="FUY29" s="388"/>
      <c r="FUZ29" s="388"/>
      <c r="FVA29" s="388"/>
      <c r="FVB29" s="388"/>
      <c r="FVC29" s="388"/>
      <c r="FVD29" s="388"/>
      <c r="FVE29" s="388"/>
      <c r="FVF29" s="388"/>
      <c r="FVG29" s="388"/>
      <c r="FVH29" s="388"/>
      <c r="FVI29" s="388"/>
      <c r="FVJ29" s="388"/>
      <c r="FVK29" s="388"/>
      <c r="FVL29" s="388"/>
      <c r="FVM29" s="388"/>
      <c r="FVN29" s="388"/>
      <c r="FVO29" s="388"/>
      <c r="FVP29" s="388"/>
      <c r="FVQ29" s="388"/>
      <c r="FVR29" s="388"/>
      <c r="FVS29" s="388"/>
      <c r="FVT29" s="388"/>
      <c r="FVU29" s="388"/>
      <c r="FVV29" s="388"/>
      <c r="FVW29" s="388"/>
      <c r="FVX29" s="388"/>
      <c r="FVY29" s="388"/>
      <c r="FVZ29" s="388"/>
      <c r="FWA29" s="388"/>
      <c r="FWB29" s="388"/>
      <c r="FWC29" s="388"/>
      <c r="FWD29" s="388"/>
      <c r="FWE29" s="388"/>
      <c r="FWF29" s="388"/>
      <c r="FWG29" s="388"/>
      <c r="FWH29" s="388"/>
      <c r="FWI29" s="388"/>
      <c r="FWJ29" s="388"/>
      <c r="FWK29" s="388"/>
      <c r="FWL29" s="388"/>
      <c r="FWM29" s="388"/>
      <c r="FWN29" s="388"/>
      <c r="FWO29" s="388"/>
      <c r="FWP29" s="388"/>
      <c r="FWQ29" s="388"/>
      <c r="FWR29" s="388"/>
      <c r="FWS29" s="388"/>
      <c r="FWT29" s="388"/>
      <c r="FWU29" s="388"/>
      <c r="FWV29" s="388"/>
      <c r="FWW29" s="388"/>
      <c r="FWX29" s="388"/>
      <c r="FWY29" s="388"/>
      <c r="FWZ29" s="388"/>
      <c r="FXA29" s="388"/>
      <c r="FXB29" s="388"/>
      <c r="FXC29" s="388"/>
      <c r="FXD29" s="388"/>
      <c r="FXE29" s="388"/>
      <c r="FXF29" s="388"/>
      <c r="FXG29" s="388"/>
      <c r="FXH29" s="388"/>
      <c r="FXI29" s="388"/>
      <c r="FXJ29" s="388"/>
      <c r="FXK29" s="388"/>
      <c r="FXL29" s="388"/>
      <c r="FXM29" s="388"/>
      <c r="FXN29" s="388"/>
      <c r="FXO29" s="388"/>
      <c r="FXP29" s="388"/>
      <c r="FXQ29" s="388"/>
      <c r="FXR29" s="388"/>
      <c r="FXS29" s="388"/>
      <c r="FXT29" s="388"/>
      <c r="FXU29" s="388"/>
      <c r="FXV29" s="388"/>
      <c r="FXW29" s="388"/>
      <c r="FXX29" s="388"/>
      <c r="FXY29" s="388"/>
      <c r="FXZ29" s="388"/>
      <c r="FYA29" s="388"/>
      <c r="FYB29" s="388"/>
      <c r="FYC29" s="388"/>
      <c r="FYD29" s="388"/>
      <c r="FYE29" s="388"/>
      <c r="FYF29" s="388"/>
      <c r="FYG29" s="388"/>
      <c r="FYH29" s="388"/>
      <c r="FYI29" s="388"/>
      <c r="FYJ29" s="388"/>
      <c r="FYK29" s="388"/>
      <c r="FYL29" s="388"/>
      <c r="FYM29" s="388"/>
      <c r="FYN29" s="388"/>
      <c r="FYO29" s="388"/>
      <c r="FYP29" s="388"/>
      <c r="FYQ29" s="388"/>
      <c r="FYR29" s="388"/>
      <c r="FYS29" s="388"/>
      <c r="FYT29" s="388"/>
      <c r="FYU29" s="388"/>
      <c r="FYV29" s="388"/>
      <c r="FYW29" s="388"/>
      <c r="FYX29" s="388"/>
      <c r="FYY29" s="388"/>
      <c r="FYZ29" s="388"/>
      <c r="FZA29" s="388"/>
      <c r="FZB29" s="388"/>
      <c r="FZC29" s="388"/>
      <c r="FZD29" s="388"/>
      <c r="FZE29" s="388"/>
      <c r="FZF29" s="388"/>
      <c r="FZG29" s="388"/>
      <c r="FZH29" s="388"/>
      <c r="FZI29" s="388"/>
      <c r="FZJ29" s="388"/>
      <c r="FZK29" s="388"/>
      <c r="FZL29" s="388"/>
      <c r="FZM29" s="388"/>
      <c r="FZN29" s="388"/>
      <c r="FZO29" s="388"/>
      <c r="FZP29" s="388"/>
      <c r="FZQ29" s="388"/>
      <c r="FZR29" s="388"/>
      <c r="FZS29" s="388"/>
      <c r="FZT29" s="388"/>
      <c r="FZU29" s="388"/>
      <c r="FZV29" s="388"/>
      <c r="FZW29" s="388"/>
      <c r="FZX29" s="388"/>
      <c r="FZY29" s="388"/>
      <c r="FZZ29" s="388"/>
      <c r="GAA29" s="388"/>
      <c r="GAB29" s="388"/>
      <c r="GAC29" s="388"/>
      <c r="GAD29" s="388"/>
      <c r="GAE29" s="388"/>
      <c r="GAF29" s="388"/>
      <c r="GAG29" s="388"/>
      <c r="GAH29" s="388"/>
      <c r="GAI29" s="388"/>
      <c r="GAJ29" s="388"/>
      <c r="GAK29" s="388"/>
      <c r="GAL29" s="388"/>
      <c r="GAM29" s="388"/>
      <c r="GAN29" s="388"/>
      <c r="GAO29" s="388"/>
      <c r="GAP29" s="388"/>
      <c r="GAQ29" s="388"/>
      <c r="GAR29" s="388"/>
      <c r="GAS29" s="388"/>
      <c r="GAT29" s="388"/>
      <c r="GAU29" s="388"/>
      <c r="GAV29" s="388"/>
      <c r="GAW29" s="388"/>
      <c r="GAX29" s="388"/>
      <c r="GAY29" s="388"/>
      <c r="GAZ29" s="388"/>
      <c r="GBA29" s="388"/>
      <c r="GBB29" s="388"/>
      <c r="GBC29" s="388"/>
      <c r="GBD29" s="388"/>
      <c r="GBE29" s="388"/>
      <c r="GBF29" s="388"/>
      <c r="GBG29" s="388"/>
      <c r="GBH29" s="388"/>
      <c r="GBI29" s="388"/>
      <c r="GBJ29" s="388"/>
      <c r="GBK29" s="388"/>
      <c r="GBL29" s="388"/>
      <c r="GBM29" s="388"/>
      <c r="GBN29" s="388"/>
      <c r="GBO29" s="388"/>
      <c r="GBP29" s="388"/>
      <c r="GBQ29" s="388"/>
      <c r="GBR29" s="388"/>
      <c r="GBS29" s="388"/>
      <c r="GBT29" s="388"/>
      <c r="GBU29" s="388"/>
      <c r="GBV29" s="388"/>
      <c r="GBW29" s="388"/>
      <c r="GBX29" s="388"/>
      <c r="GBY29" s="388"/>
      <c r="GBZ29" s="388"/>
      <c r="GCA29" s="388"/>
      <c r="GCB29" s="388"/>
      <c r="GCC29" s="388"/>
      <c r="GCD29" s="388"/>
      <c r="GCE29" s="388"/>
      <c r="GCF29" s="388"/>
      <c r="GCG29" s="388"/>
      <c r="GCH29" s="388"/>
      <c r="GCI29" s="388"/>
      <c r="GCJ29" s="388"/>
      <c r="GCK29" s="388"/>
      <c r="GCL29" s="388"/>
      <c r="GCM29" s="388"/>
      <c r="GCN29" s="388"/>
      <c r="GCO29" s="388"/>
      <c r="GCP29" s="388"/>
      <c r="GCQ29" s="388"/>
      <c r="GCR29" s="388"/>
      <c r="GCS29" s="388"/>
      <c r="GCT29" s="388"/>
      <c r="GCU29" s="388"/>
      <c r="GCV29" s="388"/>
      <c r="GCW29" s="388"/>
      <c r="GCX29" s="388"/>
      <c r="GCY29" s="388"/>
      <c r="GCZ29" s="388"/>
      <c r="GDA29" s="388"/>
      <c r="GDB29" s="388"/>
      <c r="GDC29" s="388"/>
      <c r="GDD29" s="388"/>
      <c r="GDE29" s="388"/>
      <c r="GDF29" s="388"/>
      <c r="GDG29" s="388"/>
      <c r="GDH29" s="388"/>
      <c r="GDI29" s="388"/>
      <c r="GDJ29" s="388"/>
      <c r="GDK29" s="388"/>
      <c r="GDL29" s="388"/>
      <c r="GDM29" s="388"/>
      <c r="GDN29" s="388"/>
      <c r="GDO29" s="388"/>
      <c r="GDP29" s="388"/>
      <c r="GDQ29" s="388"/>
      <c r="GDR29" s="388"/>
      <c r="GDS29" s="388"/>
      <c r="GDT29" s="388"/>
      <c r="GDU29" s="388"/>
      <c r="GDV29" s="388"/>
      <c r="GDW29" s="388"/>
      <c r="GDX29" s="388"/>
      <c r="GDY29" s="388"/>
      <c r="GDZ29" s="388"/>
      <c r="GEA29" s="388"/>
      <c r="GEB29" s="388"/>
      <c r="GEC29" s="388"/>
      <c r="GED29" s="388"/>
      <c r="GEE29" s="388"/>
      <c r="GEF29" s="388"/>
      <c r="GEG29" s="388"/>
      <c r="GEH29" s="388"/>
      <c r="GEI29" s="388"/>
      <c r="GEJ29" s="388"/>
      <c r="GEK29" s="388"/>
      <c r="GEL29" s="388"/>
      <c r="GEM29" s="388"/>
      <c r="GEN29" s="388"/>
      <c r="GEO29" s="388"/>
      <c r="GEP29" s="388"/>
      <c r="GEQ29" s="388"/>
      <c r="GER29" s="388"/>
      <c r="GES29" s="388"/>
      <c r="GET29" s="388"/>
      <c r="GEU29" s="388"/>
      <c r="GEV29" s="388"/>
      <c r="GEW29" s="388"/>
      <c r="GEX29" s="388"/>
      <c r="GEY29" s="388"/>
      <c r="GEZ29" s="388"/>
      <c r="GFA29" s="388"/>
      <c r="GFB29" s="388"/>
      <c r="GFC29" s="388"/>
      <c r="GFD29" s="388"/>
      <c r="GFE29" s="388"/>
      <c r="GFF29" s="388"/>
      <c r="GFG29" s="388"/>
      <c r="GFH29" s="388"/>
      <c r="GFI29" s="388"/>
      <c r="GFJ29" s="388"/>
      <c r="GFK29" s="388"/>
      <c r="GFL29" s="388"/>
      <c r="GFM29" s="388"/>
      <c r="GFN29" s="388"/>
      <c r="GFO29" s="388"/>
      <c r="GFP29" s="388"/>
      <c r="GFQ29" s="388"/>
      <c r="GFR29" s="388"/>
      <c r="GFS29" s="388"/>
      <c r="GFT29" s="388"/>
      <c r="GFU29" s="388"/>
      <c r="GFV29" s="388"/>
      <c r="GFW29" s="388"/>
      <c r="GFX29" s="388"/>
      <c r="GFY29" s="388"/>
      <c r="GFZ29" s="388"/>
      <c r="GGA29" s="388"/>
      <c r="GGB29" s="388"/>
      <c r="GGC29" s="388"/>
      <c r="GGD29" s="388"/>
      <c r="GGE29" s="388"/>
      <c r="GGF29" s="388"/>
      <c r="GGG29" s="388"/>
      <c r="GGH29" s="388"/>
      <c r="GGI29" s="388"/>
      <c r="GGJ29" s="388"/>
      <c r="GGK29" s="388"/>
      <c r="GGL29" s="388"/>
      <c r="GGM29" s="388"/>
      <c r="GGN29" s="388"/>
      <c r="GGO29" s="388"/>
      <c r="GGP29" s="388"/>
      <c r="GGQ29" s="388"/>
      <c r="GGR29" s="388"/>
      <c r="GGS29" s="388"/>
      <c r="GGT29" s="388"/>
      <c r="GGU29" s="388"/>
      <c r="GGV29" s="388"/>
      <c r="GGW29" s="388"/>
      <c r="GGX29" s="388"/>
      <c r="GGY29" s="388"/>
      <c r="GGZ29" s="388"/>
      <c r="GHA29" s="388"/>
      <c r="GHB29" s="388"/>
      <c r="GHC29" s="388"/>
      <c r="GHD29" s="388"/>
      <c r="GHE29" s="388"/>
      <c r="GHF29" s="388"/>
      <c r="GHG29" s="388"/>
      <c r="GHH29" s="388"/>
      <c r="GHI29" s="388"/>
      <c r="GHJ29" s="388"/>
      <c r="GHK29" s="388"/>
      <c r="GHL29" s="388"/>
      <c r="GHM29" s="388"/>
      <c r="GHN29" s="388"/>
      <c r="GHO29" s="388"/>
      <c r="GHP29" s="388"/>
      <c r="GHQ29" s="388"/>
      <c r="GHR29" s="388"/>
      <c r="GHS29" s="388"/>
      <c r="GHT29" s="388"/>
      <c r="GHU29" s="388"/>
      <c r="GHV29" s="388"/>
      <c r="GHW29" s="388"/>
      <c r="GHX29" s="388"/>
      <c r="GHY29" s="388"/>
      <c r="GHZ29" s="388"/>
      <c r="GIA29" s="388"/>
      <c r="GIB29" s="388"/>
      <c r="GIC29" s="388"/>
      <c r="GID29" s="388"/>
      <c r="GIE29" s="388"/>
      <c r="GIF29" s="388"/>
      <c r="GIG29" s="388"/>
      <c r="GIH29" s="388"/>
      <c r="GII29" s="388"/>
      <c r="GIJ29" s="388"/>
      <c r="GIK29" s="388"/>
      <c r="GIL29" s="388"/>
      <c r="GIM29" s="388"/>
      <c r="GIN29" s="388"/>
      <c r="GIO29" s="388"/>
      <c r="GIP29" s="388"/>
      <c r="GIQ29" s="388"/>
      <c r="GIR29" s="388"/>
      <c r="GIS29" s="388"/>
      <c r="GIT29" s="388"/>
      <c r="GIU29" s="388"/>
      <c r="GIV29" s="388"/>
      <c r="GIW29" s="388"/>
      <c r="GIX29" s="388"/>
      <c r="GIY29" s="388"/>
      <c r="GIZ29" s="388"/>
      <c r="GJA29" s="388"/>
      <c r="GJB29" s="388"/>
      <c r="GJC29" s="388"/>
      <c r="GJD29" s="388"/>
      <c r="GJE29" s="388"/>
      <c r="GJF29" s="388"/>
      <c r="GJG29" s="388"/>
      <c r="GJH29" s="388"/>
      <c r="GJI29" s="388"/>
      <c r="GJJ29" s="388"/>
      <c r="GJK29" s="388"/>
      <c r="GJL29" s="388"/>
      <c r="GJM29" s="388"/>
      <c r="GJN29" s="388"/>
      <c r="GJO29" s="388"/>
      <c r="GJP29" s="388"/>
      <c r="GJQ29" s="388"/>
      <c r="GJR29" s="388"/>
      <c r="GJS29" s="388"/>
      <c r="GJT29" s="388"/>
      <c r="GJU29" s="388"/>
      <c r="GJV29" s="388"/>
      <c r="GJW29" s="388"/>
      <c r="GJX29" s="388"/>
      <c r="GJY29" s="388"/>
      <c r="GJZ29" s="388"/>
      <c r="GKA29" s="388"/>
      <c r="GKB29" s="388"/>
      <c r="GKC29" s="388"/>
      <c r="GKD29" s="388"/>
      <c r="GKE29" s="388"/>
      <c r="GKF29" s="388"/>
      <c r="GKG29" s="388"/>
      <c r="GKH29" s="388"/>
      <c r="GKI29" s="388"/>
      <c r="GKJ29" s="388"/>
      <c r="GKK29" s="388"/>
      <c r="GKL29" s="388"/>
      <c r="GKM29" s="388"/>
      <c r="GKN29" s="388"/>
      <c r="GKO29" s="388"/>
      <c r="GKP29" s="388"/>
      <c r="GKQ29" s="388"/>
      <c r="GKR29" s="388"/>
      <c r="GKS29" s="388"/>
      <c r="GKT29" s="388"/>
      <c r="GKU29" s="388"/>
      <c r="GKV29" s="388"/>
      <c r="GKW29" s="388"/>
      <c r="GKX29" s="388"/>
      <c r="GKY29" s="388"/>
      <c r="GKZ29" s="388"/>
      <c r="GLA29" s="388"/>
      <c r="GLB29" s="388"/>
      <c r="GLC29" s="388"/>
      <c r="GLD29" s="388"/>
      <c r="GLE29" s="388"/>
      <c r="GLF29" s="388"/>
      <c r="GLG29" s="388"/>
      <c r="GLH29" s="388"/>
      <c r="GLI29" s="388"/>
      <c r="GLJ29" s="388"/>
      <c r="GLK29" s="388"/>
      <c r="GLL29" s="388"/>
      <c r="GLM29" s="388"/>
      <c r="GLN29" s="388"/>
      <c r="GLO29" s="388"/>
      <c r="GLP29" s="388"/>
      <c r="GLQ29" s="388"/>
      <c r="GLR29" s="388"/>
      <c r="GLS29" s="388"/>
      <c r="GLT29" s="388"/>
      <c r="GLU29" s="388"/>
      <c r="GLV29" s="388"/>
      <c r="GLW29" s="388"/>
      <c r="GLX29" s="388"/>
      <c r="GLY29" s="388"/>
      <c r="GLZ29" s="388"/>
      <c r="GMA29" s="388"/>
      <c r="GMB29" s="388"/>
      <c r="GMC29" s="388"/>
      <c r="GMD29" s="388"/>
      <c r="GME29" s="388"/>
      <c r="GMF29" s="388"/>
      <c r="GMG29" s="388"/>
      <c r="GMH29" s="388"/>
      <c r="GMI29" s="388"/>
      <c r="GMJ29" s="388"/>
      <c r="GMK29" s="388"/>
      <c r="GML29" s="388"/>
      <c r="GMM29" s="388"/>
      <c r="GMN29" s="388"/>
      <c r="GMO29" s="388"/>
      <c r="GMP29" s="388"/>
      <c r="GMQ29" s="388"/>
      <c r="GMR29" s="388"/>
      <c r="GMS29" s="388"/>
      <c r="GMT29" s="388"/>
      <c r="GMU29" s="388"/>
      <c r="GMV29" s="388"/>
      <c r="GMW29" s="388"/>
      <c r="GMX29" s="388"/>
      <c r="GMY29" s="388"/>
      <c r="GMZ29" s="388"/>
      <c r="GNA29" s="388"/>
      <c r="GNB29" s="388"/>
      <c r="GNC29" s="388"/>
      <c r="GND29" s="388"/>
      <c r="GNE29" s="388"/>
      <c r="GNF29" s="388"/>
      <c r="GNG29" s="388"/>
      <c r="GNH29" s="388"/>
      <c r="GNI29" s="388"/>
      <c r="GNJ29" s="388"/>
      <c r="GNK29" s="388"/>
      <c r="GNL29" s="388"/>
      <c r="GNM29" s="388"/>
      <c r="GNN29" s="388"/>
      <c r="GNO29" s="388"/>
      <c r="GNP29" s="388"/>
      <c r="GNQ29" s="388"/>
      <c r="GNR29" s="388"/>
      <c r="GNS29" s="388"/>
      <c r="GNT29" s="388"/>
      <c r="GNU29" s="388"/>
      <c r="GNV29" s="388"/>
      <c r="GNW29" s="388"/>
      <c r="GNX29" s="388"/>
      <c r="GNY29" s="388"/>
      <c r="GNZ29" s="388"/>
      <c r="GOA29" s="388"/>
      <c r="GOB29" s="388"/>
      <c r="GOC29" s="388"/>
      <c r="GOD29" s="388"/>
      <c r="GOE29" s="388"/>
      <c r="GOF29" s="388"/>
      <c r="GOG29" s="388"/>
      <c r="GOH29" s="388"/>
      <c r="GOI29" s="388"/>
      <c r="GOJ29" s="388"/>
      <c r="GOK29" s="388"/>
      <c r="GOL29" s="388"/>
      <c r="GOM29" s="388"/>
      <c r="GON29" s="388"/>
      <c r="GOO29" s="388"/>
      <c r="GOP29" s="388"/>
      <c r="GOQ29" s="388"/>
      <c r="GOR29" s="388"/>
      <c r="GOS29" s="388"/>
      <c r="GOT29" s="388"/>
      <c r="GOU29" s="388"/>
      <c r="GOV29" s="388"/>
      <c r="GOW29" s="388"/>
      <c r="GOX29" s="388"/>
      <c r="GOY29" s="388"/>
      <c r="GOZ29" s="388"/>
      <c r="GPA29" s="388"/>
      <c r="GPB29" s="388"/>
      <c r="GPC29" s="388"/>
      <c r="GPD29" s="388"/>
      <c r="GPE29" s="388"/>
      <c r="GPF29" s="388"/>
      <c r="GPG29" s="388"/>
      <c r="GPH29" s="388"/>
      <c r="GPI29" s="388"/>
      <c r="GPJ29" s="388"/>
      <c r="GPK29" s="388"/>
      <c r="GPL29" s="388"/>
      <c r="GPM29" s="388"/>
      <c r="GPN29" s="388"/>
      <c r="GPO29" s="388"/>
      <c r="GPP29" s="388"/>
      <c r="GPQ29" s="388"/>
      <c r="GPR29" s="388"/>
      <c r="GPS29" s="388"/>
      <c r="GPT29" s="388"/>
      <c r="GPU29" s="388"/>
      <c r="GPV29" s="388"/>
      <c r="GPW29" s="388"/>
      <c r="GPX29" s="388"/>
      <c r="GPY29" s="388"/>
      <c r="GPZ29" s="388"/>
      <c r="GQA29" s="388"/>
      <c r="GQB29" s="388"/>
      <c r="GQC29" s="388"/>
      <c r="GQD29" s="388"/>
      <c r="GQE29" s="388"/>
      <c r="GQF29" s="388"/>
      <c r="GQG29" s="388"/>
      <c r="GQH29" s="388"/>
      <c r="GQI29" s="388"/>
      <c r="GQJ29" s="388"/>
      <c r="GQK29" s="388"/>
      <c r="GQL29" s="388"/>
      <c r="GQM29" s="388"/>
      <c r="GQN29" s="388"/>
      <c r="GQO29" s="388"/>
      <c r="GQP29" s="388"/>
      <c r="GQQ29" s="388"/>
      <c r="GQR29" s="388"/>
      <c r="GQS29" s="388"/>
      <c r="GQT29" s="388"/>
      <c r="GQU29" s="388"/>
      <c r="GQV29" s="388"/>
      <c r="GQW29" s="388"/>
      <c r="GQX29" s="388"/>
      <c r="GQY29" s="388"/>
      <c r="GQZ29" s="388"/>
      <c r="GRA29" s="388"/>
      <c r="GRB29" s="388"/>
      <c r="GRC29" s="388"/>
      <c r="GRD29" s="388"/>
      <c r="GRE29" s="388"/>
      <c r="GRF29" s="388"/>
      <c r="GRG29" s="388"/>
      <c r="GRH29" s="388"/>
      <c r="GRI29" s="388"/>
      <c r="GRJ29" s="388"/>
      <c r="GRK29" s="388"/>
      <c r="GRL29" s="388"/>
      <c r="GRM29" s="388"/>
      <c r="GRN29" s="388"/>
      <c r="GRO29" s="388"/>
      <c r="GRP29" s="388"/>
      <c r="GRQ29" s="388"/>
      <c r="GRR29" s="388"/>
      <c r="GRS29" s="388"/>
      <c r="GRT29" s="388"/>
      <c r="GRU29" s="388"/>
      <c r="GRV29" s="388"/>
      <c r="GRW29" s="388"/>
      <c r="GRX29" s="388"/>
      <c r="GRY29" s="388"/>
      <c r="GRZ29" s="388"/>
      <c r="GSA29" s="388"/>
      <c r="GSB29" s="388"/>
      <c r="GSC29" s="388"/>
      <c r="GSD29" s="388"/>
      <c r="GSE29" s="388"/>
      <c r="GSF29" s="388"/>
      <c r="GSG29" s="388"/>
      <c r="GSH29" s="388"/>
      <c r="GSI29" s="388"/>
      <c r="GSJ29" s="388"/>
      <c r="GSK29" s="388"/>
      <c r="GSL29" s="388"/>
      <c r="GSM29" s="388"/>
      <c r="GSN29" s="388"/>
      <c r="GSO29" s="388"/>
      <c r="GSP29" s="388"/>
      <c r="GSQ29" s="388"/>
      <c r="GSR29" s="388"/>
      <c r="GSS29" s="388"/>
      <c r="GST29" s="388"/>
      <c r="GSU29" s="388"/>
      <c r="GSV29" s="388"/>
      <c r="GSW29" s="388"/>
      <c r="GSX29" s="388"/>
      <c r="GSY29" s="388"/>
      <c r="GSZ29" s="388"/>
      <c r="GTA29" s="388"/>
      <c r="GTB29" s="388"/>
      <c r="GTC29" s="388"/>
      <c r="GTD29" s="388"/>
      <c r="GTE29" s="388"/>
      <c r="GTF29" s="388"/>
      <c r="GTG29" s="388"/>
      <c r="GTH29" s="388"/>
      <c r="GTI29" s="388"/>
      <c r="GTJ29" s="388"/>
      <c r="GTK29" s="388"/>
      <c r="GTL29" s="388"/>
      <c r="GTM29" s="388"/>
      <c r="GTN29" s="388"/>
      <c r="GTO29" s="388"/>
      <c r="GTP29" s="388"/>
      <c r="GTQ29" s="388"/>
      <c r="GTR29" s="388"/>
      <c r="GTS29" s="388"/>
      <c r="GTT29" s="388"/>
      <c r="GTU29" s="388"/>
      <c r="GTV29" s="388"/>
      <c r="GTW29" s="388"/>
      <c r="GTX29" s="388"/>
      <c r="GTY29" s="388"/>
      <c r="GTZ29" s="388"/>
      <c r="GUA29" s="388"/>
      <c r="GUB29" s="388"/>
      <c r="GUC29" s="388"/>
      <c r="GUD29" s="388"/>
      <c r="GUE29" s="388"/>
      <c r="GUF29" s="388"/>
      <c r="GUG29" s="388"/>
      <c r="GUH29" s="388"/>
      <c r="GUI29" s="388"/>
      <c r="GUJ29" s="388"/>
      <c r="GUK29" s="388"/>
      <c r="GUL29" s="388"/>
      <c r="GUM29" s="388"/>
      <c r="GUN29" s="388"/>
      <c r="GUO29" s="388"/>
      <c r="GUP29" s="388"/>
      <c r="GUQ29" s="388"/>
      <c r="GUR29" s="388"/>
      <c r="GUS29" s="388"/>
      <c r="GUT29" s="388"/>
      <c r="GUU29" s="388"/>
      <c r="GUV29" s="388"/>
      <c r="GUW29" s="388"/>
      <c r="GUX29" s="388"/>
      <c r="GUY29" s="388"/>
      <c r="GUZ29" s="388"/>
      <c r="GVA29" s="388"/>
      <c r="GVB29" s="388"/>
      <c r="GVC29" s="388"/>
      <c r="GVD29" s="388"/>
      <c r="GVE29" s="388"/>
      <c r="GVF29" s="388"/>
      <c r="GVG29" s="388"/>
      <c r="GVH29" s="388"/>
      <c r="GVI29" s="388"/>
      <c r="GVJ29" s="388"/>
      <c r="GVK29" s="388"/>
      <c r="GVL29" s="388"/>
      <c r="GVM29" s="388"/>
      <c r="GVN29" s="388"/>
      <c r="GVO29" s="388"/>
      <c r="GVP29" s="388"/>
      <c r="GVQ29" s="388"/>
      <c r="GVR29" s="388"/>
      <c r="GVS29" s="388"/>
      <c r="GVT29" s="388"/>
      <c r="GVU29" s="388"/>
      <c r="GVV29" s="388"/>
      <c r="GVW29" s="388"/>
      <c r="GVX29" s="388"/>
      <c r="GVY29" s="388"/>
      <c r="GVZ29" s="388"/>
      <c r="GWA29" s="388"/>
      <c r="GWB29" s="388"/>
      <c r="GWC29" s="388"/>
      <c r="GWD29" s="388"/>
      <c r="GWE29" s="388"/>
      <c r="GWF29" s="388"/>
      <c r="GWG29" s="388"/>
      <c r="GWH29" s="388"/>
      <c r="GWI29" s="388"/>
      <c r="GWJ29" s="388"/>
      <c r="GWK29" s="388"/>
      <c r="GWL29" s="388"/>
      <c r="GWM29" s="388"/>
      <c r="GWN29" s="388"/>
      <c r="GWO29" s="388"/>
      <c r="GWP29" s="388"/>
      <c r="GWQ29" s="388"/>
      <c r="GWR29" s="388"/>
      <c r="GWS29" s="388"/>
      <c r="GWT29" s="388"/>
      <c r="GWU29" s="388"/>
      <c r="GWV29" s="388"/>
      <c r="GWW29" s="388"/>
      <c r="GWX29" s="388"/>
      <c r="GWY29" s="388"/>
      <c r="GWZ29" s="388"/>
      <c r="GXA29" s="388"/>
      <c r="GXB29" s="388"/>
      <c r="GXC29" s="388"/>
      <c r="GXD29" s="388"/>
      <c r="GXE29" s="388"/>
      <c r="GXF29" s="388"/>
      <c r="GXG29" s="388"/>
      <c r="GXH29" s="388"/>
      <c r="GXI29" s="388"/>
      <c r="GXJ29" s="388"/>
      <c r="GXK29" s="388"/>
      <c r="GXL29" s="388"/>
      <c r="GXM29" s="388"/>
      <c r="GXN29" s="388"/>
      <c r="GXO29" s="388"/>
      <c r="GXP29" s="388"/>
      <c r="GXQ29" s="388"/>
      <c r="GXR29" s="388"/>
      <c r="GXS29" s="388"/>
      <c r="GXT29" s="388"/>
      <c r="GXU29" s="388"/>
      <c r="GXV29" s="388"/>
      <c r="GXW29" s="388"/>
      <c r="GXX29" s="388"/>
      <c r="GXY29" s="388"/>
      <c r="GXZ29" s="388"/>
      <c r="GYA29" s="388"/>
      <c r="GYB29" s="388"/>
      <c r="GYC29" s="388"/>
      <c r="GYD29" s="388"/>
      <c r="GYE29" s="388"/>
      <c r="GYF29" s="388"/>
      <c r="GYG29" s="388"/>
      <c r="GYH29" s="388"/>
      <c r="GYI29" s="388"/>
      <c r="GYJ29" s="388"/>
      <c r="GYK29" s="388"/>
      <c r="GYL29" s="388"/>
      <c r="GYM29" s="388"/>
      <c r="GYN29" s="388"/>
      <c r="GYO29" s="388"/>
      <c r="GYP29" s="388"/>
      <c r="GYQ29" s="388"/>
      <c r="GYR29" s="388"/>
      <c r="GYS29" s="388"/>
      <c r="GYT29" s="388"/>
      <c r="GYU29" s="388"/>
      <c r="GYV29" s="388"/>
      <c r="GYW29" s="388"/>
      <c r="GYX29" s="388"/>
      <c r="GYY29" s="388"/>
      <c r="GYZ29" s="388"/>
      <c r="GZA29" s="388"/>
      <c r="GZB29" s="388"/>
      <c r="GZC29" s="388"/>
      <c r="GZD29" s="388"/>
      <c r="GZE29" s="388"/>
      <c r="GZF29" s="388"/>
      <c r="GZG29" s="388"/>
      <c r="GZH29" s="388"/>
      <c r="GZI29" s="388"/>
      <c r="GZJ29" s="388"/>
      <c r="GZK29" s="388"/>
      <c r="GZL29" s="388"/>
      <c r="GZM29" s="388"/>
      <c r="GZN29" s="388"/>
      <c r="GZO29" s="388"/>
      <c r="GZP29" s="388"/>
      <c r="GZQ29" s="388"/>
      <c r="GZR29" s="388"/>
      <c r="GZS29" s="388"/>
      <c r="GZT29" s="388"/>
      <c r="GZU29" s="388"/>
      <c r="GZV29" s="388"/>
      <c r="GZW29" s="388"/>
      <c r="GZX29" s="388"/>
      <c r="GZY29" s="388"/>
      <c r="GZZ29" s="388"/>
      <c r="HAA29" s="388"/>
      <c r="HAB29" s="388"/>
      <c r="HAC29" s="388"/>
      <c r="HAD29" s="388"/>
      <c r="HAE29" s="388"/>
      <c r="HAF29" s="388"/>
      <c r="HAG29" s="388"/>
      <c r="HAH29" s="388"/>
      <c r="HAI29" s="388"/>
      <c r="HAJ29" s="388"/>
      <c r="HAK29" s="388"/>
      <c r="HAL29" s="388"/>
      <c r="HAM29" s="388"/>
      <c r="HAN29" s="388"/>
      <c r="HAO29" s="388"/>
      <c r="HAP29" s="388"/>
      <c r="HAQ29" s="388"/>
      <c r="HAR29" s="388"/>
      <c r="HAS29" s="388"/>
      <c r="HAT29" s="388"/>
      <c r="HAU29" s="388"/>
      <c r="HAV29" s="388"/>
      <c r="HAW29" s="388"/>
      <c r="HAX29" s="388"/>
      <c r="HAY29" s="388"/>
      <c r="HAZ29" s="388"/>
      <c r="HBA29" s="388"/>
      <c r="HBB29" s="388"/>
      <c r="HBC29" s="388"/>
      <c r="HBD29" s="388"/>
      <c r="HBE29" s="388"/>
      <c r="HBF29" s="388"/>
      <c r="HBG29" s="388"/>
      <c r="HBH29" s="388"/>
      <c r="HBI29" s="388"/>
      <c r="HBJ29" s="388"/>
      <c r="HBK29" s="388"/>
      <c r="HBL29" s="388"/>
      <c r="HBM29" s="388"/>
      <c r="HBN29" s="388"/>
      <c r="HBO29" s="388"/>
      <c r="HBP29" s="388"/>
      <c r="HBQ29" s="388"/>
      <c r="HBR29" s="388"/>
      <c r="HBS29" s="388"/>
      <c r="HBT29" s="388"/>
      <c r="HBU29" s="388"/>
      <c r="HBV29" s="388"/>
      <c r="HBW29" s="388"/>
      <c r="HBX29" s="388"/>
      <c r="HBY29" s="388"/>
      <c r="HBZ29" s="388"/>
      <c r="HCA29" s="388"/>
      <c r="HCB29" s="388"/>
      <c r="HCC29" s="388"/>
      <c r="HCD29" s="388"/>
      <c r="HCE29" s="388"/>
      <c r="HCF29" s="388"/>
      <c r="HCG29" s="388"/>
      <c r="HCH29" s="388"/>
      <c r="HCI29" s="388"/>
      <c r="HCJ29" s="388"/>
      <c r="HCK29" s="388"/>
      <c r="HCL29" s="388"/>
      <c r="HCM29" s="388"/>
      <c r="HCN29" s="388"/>
      <c r="HCO29" s="388"/>
      <c r="HCP29" s="388"/>
      <c r="HCQ29" s="388"/>
      <c r="HCR29" s="388"/>
      <c r="HCS29" s="388"/>
      <c r="HCT29" s="388"/>
      <c r="HCU29" s="388"/>
      <c r="HCV29" s="388"/>
      <c r="HCW29" s="388"/>
      <c r="HCX29" s="388"/>
      <c r="HCY29" s="388"/>
      <c r="HCZ29" s="388"/>
      <c r="HDA29" s="388"/>
      <c r="HDB29" s="388"/>
      <c r="HDC29" s="388"/>
      <c r="HDD29" s="388"/>
      <c r="HDE29" s="388"/>
      <c r="HDF29" s="388"/>
      <c r="HDG29" s="388"/>
      <c r="HDH29" s="388"/>
      <c r="HDI29" s="388"/>
      <c r="HDJ29" s="388"/>
      <c r="HDK29" s="388"/>
      <c r="HDL29" s="388"/>
      <c r="HDM29" s="388"/>
      <c r="HDN29" s="388"/>
      <c r="HDO29" s="388"/>
      <c r="HDP29" s="388"/>
      <c r="HDQ29" s="388"/>
      <c r="HDR29" s="388"/>
      <c r="HDS29" s="388"/>
      <c r="HDT29" s="388"/>
      <c r="HDU29" s="388"/>
      <c r="HDV29" s="388"/>
      <c r="HDW29" s="388"/>
      <c r="HDX29" s="388"/>
      <c r="HDY29" s="388"/>
      <c r="HDZ29" s="388"/>
      <c r="HEA29" s="388"/>
      <c r="HEB29" s="388"/>
      <c r="HEC29" s="388"/>
      <c r="HED29" s="388"/>
      <c r="HEE29" s="388"/>
      <c r="HEF29" s="388"/>
      <c r="HEG29" s="388"/>
      <c r="HEH29" s="388"/>
      <c r="HEI29" s="388"/>
      <c r="HEJ29" s="388"/>
      <c r="HEK29" s="388"/>
      <c r="HEL29" s="388"/>
      <c r="HEM29" s="388"/>
      <c r="HEN29" s="388"/>
      <c r="HEO29" s="388"/>
      <c r="HEP29" s="388"/>
      <c r="HEQ29" s="388"/>
      <c r="HER29" s="388"/>
      <c r="HES29" s="388"/>
      <c r="HET29" s="388"/>
      <c r="HEU29" s="388"/>
      <c r="HEV29" s="388"/>
      <c r="HEW29" s="388"/>
      <c r="HEX29" s="388"/>
      <c r="HEY29" s="388"/>
      <c r="HEZ29" s="388"/>
      <c r="HFA29" s="388"/>
      <c r="HFB29" s="388"/>
      <c r="HFC29" s="388"/>
      <c r="HFD29" s="388"/>
      <c r="HFE29" s="388"/>
      <c r="HFF29" s="388"/>
      <c r="HFG29" s="388"/>
      <c r="HFH29" s="388"/>
      <c r="HFI29" s="388"/>
      <c r="HFJ29" s="388"/>
      <c r="HFK29" s="388"/>
      <c r="HFL29" s="388"/>
      <c r="HFM29" s="388"/>
      <c r="HFN29" s="388"/>
      <c r="HFO29" s="388"/>
      <c r="HFP29" s="388"/>
      <c r="HFQ29" s="388"/>
      <c r="HFR29" s="388"/>
      <c r="HFS29" s="388"/>
      <c r="HFT29" s="388"/>
      <c r="HFU29" s="388"/>
      <c r="HFV29" s="388"/>
      <c r="HFW29" s="388"/>
      <c r="HFX29" s="388"/>
      <c r="HFY29" s="388"/>
      <c r="HFZ29" s="388"/>
      <c r="HGA29" s="388"/>
      <c r="HGB29" s="388"/>
      <c r="HGC29" s="388"/>
      <c r="HGD29" s="388"/>
      <c r="HGE29" s="388"/>
      <c r="HGF29" s="388"/>
      <c r="HGG29" s="388"/>
      <c r="HGH29" s="388"/>
      <c r="HGI29" s="388"/>
      <c r="HGJ29" s="388"/>
      <c r="HGK29" s="388"/>
      <c r="HGL29" s="388"/>
      <c r="HGM29" s="388"/>
      <c r="HGN29" s="388"/>
      <c r="HGO29" s="388"/>
      <c r="HGP29" s="388"/>
      <c r="HGQ29" s="388"/>
      <c r="HGR29" s="388"/>
      <c r="HGS29" s="388"/>
      <c r="HGT29" s="388"/>
      <c r="HGU29" s="388"/>
      <c r="HGV29" s="388"/>
      <c r="HGW29" s="388"/>
      <c r="HGX29" s="388"/>
      <c r="HGY29" s="388"/>
      <c r="HGZ29" s="388"/>
      <c r="HHA29" s="388"/>
      <c r="HHB29" s="388"/>
      <c r="HHC29" s="388"/>
      <c r="HHD29" s="388"/>
      <c r="HHE29" s="388"/>
      <c r="HHF29" s="388"/>
      <c r="HHG29" s="388"/>
      <c r="HHH29" s="388"/>
      <c r="HHI29" s="388"/>
      <c r="HHJ29" s="388"/>
      <c r="HHK29" s="388"/>
      <c r="HHL29" s="388"/>
      <c r="HHM29" s="388"/>
      <c r="HHN29" s="388"/>
      <c r="HHO29" s="388"/>
      <c r="HHP29" s="388"/>
      <c r="HHQ29" s="388"/>
      <c r="HHR29" s="388"/>
      <c r="HHS29" s="388"/>
      <c r="HHT29" s="388"/>
      <c r="HHU29" s="388"/>
      <c r="HHV29" s="388"/>
      <c r="HHW29" s="388"/>
      <c r="HHX29" s="388"/>
      <c r="HHY29" s="388"/>
      <c r="HHZ29" s="388"/>
      <c r="HIA29" s="388"/>
      <c r="HIB29" s="388"/>
      <c r="HIC29" s="388"/>
      <c r="HID29" s="388"/>
      <c r="HIE29" s="388"/>
      <c r="HIF29" s="388"/>
      <c r="HIG29" s="388"/>
      <c r="HIH29" s="388"/>
      <c r="HII29" s="388"/>
      <c r="HIJ29" s="388"/>
      <c r="HIK29" s="388"/>
      <c r="HIL29" s="388"/>
      <c r="HIM29" s="388"/>
      <c r="HIN29" s="388"/>
      <c r="HIO29" s="388"/>
      <c r="HIP29" s="388"/>
      <c r="HIQ29" s="388"/>
      <c r="HIR29" s="388"/>
      <c r="HIS29" s="388"/>
      <c r="HIT29" s="388"/>
      <c r="HIU29" s="388"/>
      <c r="HIV29" s="388"/>
      <c r="HIW29" s="388"/>
      <c r="HIX29" s="388"/>
      <c r="HIY29" s="388"/>
      <c r="HIZ29" s="388"/>
      <c r="HJA29" s="388"/>
      <c r="HJB29" s="388"/>
      <c r="HJC29" s="388"/>
      <c r="HJD29" s="388"/>
      <c r="HJE29" s="388"/>
      <c r="HJF29" s="388"/>
      <c r="HJG29" s="388"/>
      <c r="HJH29" s="388"/>
      <c r="HJI29" s="388"/>
      <c r="HJJ29" s="388"/>
      <c r="HJK29" s="388"/>
      <c r="HJL29" s="388"/>
      <c r="HJM29" s="388"/>
      <c r="HJN29" s="388"/>
      <c r="HJO29" s="388"/>
      <c r="HJP29" s="388"/>
      <c r="HJQ29" s="388"/>
      <c r="HJR29" s="388"/>
      <c r="HJS29" s="388"/>
      <c r="HJT29" s="388"/>
      <c r="HJU29" s="388"/>
      <c r="HJV29" s="388"/>
      <c r="HJW29" s="388"/>
      <c r="HJX29" s="388"/>
      <c r="HJY29" s="388"/>
      <c r="HJZ29" s="388"/>
      <c r="HKA29" s="388"/>
      <c r="HKB29" s="388"/>
      <c r="HKC29" s="388"/>
      <c r="HKD29" s="388"/>
      <c r="HKE29" s="388"/>
      <c r="HKF29" s="388"/>
      <c r="HKG29" s="388"/>
      <c r="HKH29" s="388"/>
      <c r="HKI29" s="388"/>
      <c r="HKJ29" s="388"/>
      <c r="HKK29" s="388"/>
      <c r="HKL29" s="388"/>
      <c r="HKM29" s="388"/>
      <c r="HKN29" s="388"/>
      <c r="HKO29" s="388"/>
      <c r="HKP29" s="388"/>
      <c r="HKQ29" s="388"/>
      <c r="HKR29" s="388"/>
      <c r="HKS29" s="388"/>
      <c r="HKT29" s="388"/>
      <c r="HKU29" s="388"/>
      <c r="HKV29" s="388"/>
      <c r="HKW29" s="388"/>
      <c r="HKX29" s="388"/>
      <c r="HKY29" s="388"/>
      <c r="HKZ29" s="388"/>
      <c r="HLA29" s="388"/>
      <c r="HLB29" s="388"/>
      <c r="HLC29" s="388"/>
      <c r="HLD29" s="388"/>
      <c r="HLE29" s="388"/>
      <c r="HLF29" s="388"/>
      <c r="HLG29" s="388"/>
      <c r="HLH29" s="388"/>
      <c r="HLI29" s="388"/>
      <c r="HLJ29" s="388"/>
      <c r="HLK29" s="388"/>
      <c r="HLL29" s="388"/>
      <c r="HLM29" s="388"/>
      <c r="HLN29" s="388"/>
      <c r="HLO29" s="388"/>
      <c r="HLP29" s="388"/>
      <c r="HLQ29" s="388"/>
      <c r="HLR29" s="388"/>
      <c r="HLS29" s="388"/>
      <c r="HLT29" s="388"/>
      <c r="HLU29" s="388"/>
      <c r="HLV29" s="388"/>
      <c r="HLW29" s="388"/>
      <c r="HLX29" s="388"/>
      <c r="HLY29" s="388"/>
      <c r="HLZ29" s="388"/>
      <c r="HMA29" s="388"/>
      <c r="HMB29" s="388"/>
      <c r="HMC29" s="388"/>
      <c r="HMD29" s="388"/>
      <c r="HME29" s="388"/>
      <c r="HMF29" s="388"/>
      <c r="HMG29" s="388"/>
      <c r="HMH29" s="388"/>
      <c r="HMI29" s="388"/>
      <c r="HMJ29" s="388"/>
      <c r="HMK29" s="388"/>
      <c r="HML29" s="388"/>
      <c r="HMM29" s="388"/>
      <c r="HMN29" s="388"/>
      <c r="HMO29" s="388"/>
      <c r="HMP29" s="388"/>
      <c r="HMQ29" s="388"/>
      <c r="HMR29" s="388"/>
      <c r="HMS29" s="388"/>
      <c r="HMT29" s="388"/>
      <c r="HMU29" s="388"/>
      <c r="HMV29" s="388"/>
      <c r="HMW29" s="388"/>
      <c r="HMX29" s="388"/>
      <c r="HMY29" s="388"/>
      <c r="HMZ29" s="388"/>
      <c r="HNA29" s="388"/>
      <c r="HNB29" s="388"/>
      <c r="HNC29" s="388"/>
      <c r="HND29" s="388"/>
      <c r="HNE29" s="388"/>
      <c r="HNF29" s="388"/>
      <c r="HNG29" s="388"/>
      <c r="HNH29" s="388"/>
      <c r="HNI29" s="388"/>
      <c r="HNJ29" s="388"/>
      <c r="HNK29" s="388"/>
      <c r="HNL29" s="388"/>
      <c r="HNM29" s="388"/>
      <c r="HNN29" s="388"/>
      <c r="HNO29" s="388"/>
      <c r="HNP29" s="388"/>
      <c r="HNQ29" s="388"/>
      <c r="HNR29" s="388"/>
      <c r="HNS29" s="388"/>
      <c r="HNT29" s="388"/>
      <c r="HNU29" s="388"/>
      <c r="HNV29" s="388"/>
      <c r="HNW29" s="388"/>
      <c r="HNX29" s="388"/>
      <c r="HNY29" s="388"/>
      <c r="HNZ29" s="388"/>
      <c r="HOA29" s="388"/>
      <c r="HOB29" s="388"/>
      <c r="HOC29" s="388"/>
      <c r="HOD29" s="388"/>
      <c r="HOE29" s="388"/>
      <c r="HOF29" s="388"/>
      <c r="HOG29" s="388"/>
      <c r="HOH29" s="388"/>
      <c r="HOI29" s="388"/>
      <c r="HOJ29" s="388"/>
      <c r="HOK29" s="388"/>
      <c r="HOL29" s="388"/>
      <c r="HOM29" s="388"/>
      <c r="HON29" s="388"/>
      <c r="HOO29" s="388"/>
      <c r="HOP29" s="388"/>
      <c r="HOQ29" s="388"/>
      <c r="HOR29" s="388"/>
      <c r="HOS29" s="388"/>
      <c r="HOT29" s="388"/>
      <c r="HOU29" s="388"/>
      <c r="HOV29" s="388"/>
      <c r="HOW29" s="388"/>
      <c r="HOX29" s="388"/>
      <c r="HOY29" s="388"/>
      <c r="HOZ29" s="388"/>
      <c r="HPA29" s="388"/>
      <c r="HPB29" s="388"/>
      <c r="HPC29" s="388"/>
      <c r="HPD29" s="388"/>
      <c r="HPE29" s="388"/>
      <c r="HPF29" s="388"/>
      <c r="HPG29" s="388"/>
      <c r="HPH29" s="388"/>
      <c r="HPI29" s="388"/>
      <c r="HPJ29" s="388"/>
      <c r="HPK29" s="388"/>
      <c r="HPL29" s="388"/>
      <c r="HPM29" s="388"/>
      <c r="HPN29" s="388"/>
      <c r="HPO29" s="388"/>
      <c r="HPP29" s="388"/>
      <c r="HPQ29" s="388"/>
      <c r="HPR29" s="388"/>
      <c r="HPS29" s="388"/>
      <c r="HPT29" s="388"/>
      <c r="HPU29" s="388"/>
      <c r="HPV29" s="388"/>
      <c r="HPW29" s="388"/>
      <c r="HPX29" s="388"/>
      <c r="HPY29" s="388"/>
      <c r="HPZ29" s="388"/>
      <c r="HQA29" s="388"/>
      <c r="HQB29" s="388"/>
      <c r="HQC29" s="388"/>
      <c r="HQD29" s="388"/>
      <c r="HQE29" s="388"/>
      <c r="HQF29" s="388"/>
      <c r="HQG29" s="388"/>
      <c r="HQH29" s="388"/>
      <c r="HQI29" s="388"/>
      <c r="HQJ29" s="388"/>
      <c r="HQK29" s="388"/>
      <c r="HQL29" s="388"/>
      <c r="HQM29" s="388"/>
      <c r="HQN29" s="388"/>
      <c r="HQO29" s="388"/>
      <c r="HQP29" s="388"/>
      <c r="HQQ29" s="388"/>
      <c r="HQR29" s="388"/>
      <c r="HQS29" s="388"/>
      <c r="HQT29" s="388"/>
      <c r="HQU29" s="388"/>
      <c r="HQV29" s="388"/>
      <c r="HQW29" s="388"/>
      <c r="HQX29" s="388"/>
      <c r="HQY29" s="388"/>
      <c r="HQZ29" s="388"/>
      <c r="HRA29" s="388"/>
      <c r="HRB29" s="388"/>
      <c r="HRC29" s="388"/>
      <c r="HRD29" s="388"/>
      <c r="HRE29" s="388"/>
      <c r="HRF29" s="388"/>
      <c r="HRG29" s="388"/>
      <c r="HRH29" s="388"/>
      <c r="HRI29" s="388"/>
      <c r="HRJ29" s="388"/>
      <c r="HRK29" s="388"/>
      <c r="HRL29" s="388"/>
      <c r="HRM29" s="388"/>
      <c r="HRN29" s="388"/>
      <c r="HRO29" s="388"/>
      <c r="HRP29" s="388"/>
      <c r="HRQ29" s="388"/>
      <c r="HRR29" s="388"/>
      <c r="HRS29" s="388"/>
      <c r="HRT29" s="388"/>
      <c r="HRU29" s="388"/>
      <c r="HRV29" s="388"/>
      <c r="HRW29" s="388"/>
      <c r="HRX29" s="388"/>
      <c r="HRY29" s="388"/>
      <c r="HRZ29" s="388"/>
      <c r="HSA29" s="388"/>
      <c r="HSB29" s="388"/>
      <c r="HSC29" s="388"/>
      <c r="HSD29" s="388"/>
      <c r="HSE29" s="388"/>
      <c r="HSF29" s="388"/>
      <c r="HSG29" s="388"/>
      <c r="HSH29" s="388"/>
      <c r="HSI29" s="388"/>
      <c r="HSJ29" s="388"/>
      <c r="HSK29" s="388"/>
      <c r="HSL29" s="388"/>
      <c r="HSM29" s="388"/>
      <c r="HSN29" s="388"/>
      <c r="HSO29" s="388"/>
      <c r="HSP29" s="388"/>
      <c r="HSQ29" s="388"/>
      <c r="HSR29" s="388"/>
      <c r="HSS29" s="388"/>
      <c r="HST29" s="388"/>
      <c r="HSU29" s="388"/>
      <c r="HSV29" s="388"/>
      <c r="HSW29" s="388"/>
      <c r="HSX29" s="388"/>
      <c r="HSY29" s="388"/>
      <c r="HSZ29" s="388"/>
      <c r="HTA29" s="388"/>
      <c r="HTB29" s="388"/>
      <c r="HTC29" s="388"/>
      <c r="HTD29" s="388"/>
      <c r="HTE29" s="388"/>
      <c r="HTF29" s="388"/>
      <c r="HTG29" s="388"/>
      <c r="HTH29" s="388"/>
      <c r="HTI29" s="388"/>
      <c r="HTJ29" s="388"/>
      <c r="HTK29" s="388"/>
      <c r="HTL29" s="388"/>
      <c r="HTM29" s="388"/>
      <c r="HTN29" s="388"/>
      <c r="HTO29" s="388"/>
      <c r="HTP29" s="388"/>
      <c r="HTQ29" s="388"/>
      <c r="HTR29" s="388"/>
      <c r="HTS29" s="388"/>
      <c r="HTT29" s="388"/>
      <c r="HTU29" s="388"/>
      <c r="HTV29" s="388"/>
      <c r="HTW29" s="388"/>
      <c r="HTX29" s="388"/>
      <c r="HTY29" s="388"/>
      <c r="HTZ29" s="388"/>
      <c r="HUA29" s="388"/>
      <c r="HUB29" s="388"/>
      <c r="HUC29" s="388"/>
      <c r="HUD29" s="388"/>
      <c r="HUE29" s="388"/>
      <c r="HUF29" s="388"/>
      <c r="HUG29" s="388"/>
      <c r="HUH29" s="388"/>
      <c r="HUI29" s="388"/>
      <c r="HUJ29" s="388"/>
      <c r="HUK29" s="388"/>
      <c r="HUL29" s="388"/>
      <c r="HUM29" s="388"/>
      <c r="HUN29" s="388"/>
      <c r="HUO29" s="388"/>
      <c r="HUP29" s="388"/>
      <c r="HUQ29" s="388"/>
      <c r="HUR29" s="388"/>
      <c r="HUS29" s="388"/>
      <c r="HUT29" s="388"/>
      <c r="HUU29" s="388"/>
      <c r="HUV29" s="388"/>
      <c r="HUW29" s="388"/>
      <c r="HUX29" s="388"/>
      <c r="HUY29" s="388"/>
      <c r="HUZ29" s="388"/>
      <c r="HVA29" s="388"/>
      <c r="HVB29" s="388"/>
      <c r="HVC29" s="388"/>
      <c r="HVD29" s="388"/>
      <c r="HVE29" s="388"/>
      <c r="HVF29" s="388"/>
      <c r="HVG29" s="388"/>
      <c r="HVH29" s="388"/>
      <c r="HVI29" s="388"/>
      <c r="HVJ29" s="388"/>
      <c r="HVK29" s="388"/>
      <c r="HVL29" s="388"/>
      <c r="HVM29" s="388"/>
      <c r="HVN29" s="388"/>
      <c r="HVO29" s="388"/>
      <c r="HVP29" s="388"/>
      <c r="HVQ29" s="388"/>
      <c r="HVR29" s="388"/>
      <c r="HVS29" s="388"/>
      <c r="HVT29" s="388"/>
      <c r="HVU29" s="388"/>
      <c r="HVV29" s="388"/>
      <c r="HVW29" s="388"/>
      <c r="HVX29" s="388"/>
      <c r="HVY29" s="388"/>
      <c r="HVZ29" s="388"/>
      <c r="HWA29" s="388"/>
      <c r="HWB29" s="388"/>
      <c r="HWC29" s="388"/>
      <c r="HWD29" s="388"/>
      <c r="HWE29" s="388"/>
      <c r="HWF29" s="388"/>
      <c r="HWG29" s="388"/>
      <c r="HWH29" s="388"/>
      <c r="HWI29" s="388"/>
      <c r="HWJ29" s="388"/>
      <c r="HWK29" s="388"/>
      <c r="HWL29" s="388"/>
      <c r="HWM29" s="388"/>
      <c r="HWN29" s="388"/>
      <c r="HWO29" s="388"/>
      <c r="HWP29" s="388"/>
      <c r="HWQ29" s="388"/>
      <c r="HWR29" s="388"/>
      <c r="HWS29" s="388"/>
      <c r="HWT29" s="388"/>
      <c r="HWU29" s="388"/>
      <c r="HWV29" s="388"/>
      <c r="HWW29" s="388"/>
      <c r="HWX29" s="388"/>
      <c r="HWY29" s="388"/>
      <c r="HWZ29" s="388"/>
      <c r="HXA29" s="388"/>
      <c r="HXB29" s="388"/>
      <c r="HXC29" s="388"/>
      <c r="HXD29" s="388"/>
      <c r="HXE29" s="388"/>
      <c r="HXF29" s="388"/>
      <c r="HXG29" s="388"/>
      <c r="HXH29" s="388"/>
      <c r="HXI29" s="388"/>
      <c r="HXJ29" s="388"/>
      <c r="HXK29" s="388"/>
      <c r="HXL29" s="388"/>
      <c r="HXM29" s="388"/>
      <c r="HXN29" s="388"/>
      <c r="HXO29" s="388"/>
      <c r="HXP29" s="388"/>
      <c r="HXQ29" s="388"/>
      <c r="HXR29" s="388"/>
      <c r="HXS29" s="388"/>
      <c r="HXT29" s="388"/>
      <c r="HXU29" s="388"/>
      <c r="HXV29" s="388"/>
      <c r="HXW29" s="388"/>
      <c r="HXX29" s="388"/>
      <c r="HXY29" s="388"/>
      <c r="HXZ29" s="388"/>
      <c r="HYA29" s="388"/>
      <c r="HYB29" s="388"/>
      <c r="HYC29" s="388"/>
      <c r="HYD29" s="388"/>
      <c r="HYE29" s="388"/>
      <c r="HYF29" s="388"/>
      <c r="HYG29" s="388"/>
      <c r="HYH29" s="388"/>
      <c r="HYI29" s="388"/>
      <c r="HYJ29" s="388"/>
      <c r="HYK29" s="388"/>
      <c r="HYL29" s="388"/>
      <c r="HYM29" s="388"/>
      <c r="HYN29" s="388"/>
      <c r="HYO29" s="388"/>
      <c r="HYP29" s="388"/>
      <c r="HYQ29" s="388"/>
      <c r="HYR29" s="388"/>
      <c r="HYS29" s="388"/>
      <c r="HYT29" s="388"/>
      <c r="HYU29" s="388"/>
      <c r="HYV29" s="388"/>
      <c r="HYW29" s="388"/>
      <c r="HYX29" s="388"/>
      <c r="HYY29" s="388"/>
      <c r="HYZ29" s="388"/>
      <c r="HZA29" s="388"/>
      <c r="HZB29" s="388"/>
      <c r="HZC29" s="388"/>
      <c r="HZD29" s="388"/>
      <c r="HZE29" s="388"/>
      <c r="HZF29" s="388"/>
      <c r="HZG29" s="388"/>
      <c r="HZH29" s="388"/>
      <c r="HZI29" s="388"/>
      <c r="HZJ29" s="388"/>
      <c r="HZK29" s="388"/>
      <c r="HZL29" s="388"/>
      <c r="HZM29" s="388"/>
      <c r="HZN29" s="388"/>
      <c r="HZO29" s="388"/>
      <c r="HZP29" s="388"/>
      <c r="HZQ29" s="388"/>
      <c r="HZR29" s="388"/>
      <c r="HZS29" s="388"/>
      <c r="HZT29" s="388"/>
      <c r="HZU29" s="388"/>
      <c r="HZV29" s="388"/>
      <c r="HZW29" s="388"/>
      <c r="HZX29" s="388"/>
      <c r="HZY29" s="388"/>
      <c r="HZZ29" s="388"/>
      <c r="IAA29" s="388"/>
      <c r="IAB29" s="388"/>
      <c r="IAC29" s="388"/>
      <c r="IAD29" s="388"/>
      <c r="IAE29" s="388"/>
      <c r="IAF29" s="388"/>
      <c r="IAG29" s="388"/>
      <c r="IAH29" s="388"/>
      <c r="IAI29" s="388"/>
      <c r="IAJ29" s="388"/>
      <c r="IAK29" s="388"/>
      <c r="IAL29" s="388"/>
      <c r="IAM29" s="388"/>
      <c r="IAN29" s="388"/>
      <c r="IAO29" s="388"/>
      <c r="IAP29" s="388"/>
      <c r="IAQ29" s="388"/>
      <c r="IAR29" s="388"/>
      <c r="IAS29" s="388"/>
      <c r="IAT29" s="388"/>
      <c r="IAU29" s="388"/>
      <c r="IAV29" s="388"/>
      <c r="IAW29" s="388"/>
      <c r="IAX29" s="388"/>
      <c r="IAY29" s="388"/>
      <c r="IAZ29" s="388"/>
      <c r="IBA29" s="388"/>
      <c r="IBB29" s="388"/>
      <c r="IBC29" s="388"/>
      <c r="IBD29" s="388"/>
      <c r="IBE29" s="388"/>
      <c r="IBF29" s="388"/>
      <c r="IBG29" s="388"/>
      <c r="IBH29" s="388"/>
      <c r="IBI29" s="388"/>
      <c r="IBJ29" s="388"/>
      <c r="IBK29" s="388"/>
      <c r="IBL29" s="388"/>
      <c r="IBM29" s="388"/>
      <c r="IBN29" s="388"/>
      <c r="IBO29" s="388"/>
      <c r="IBP29" s="388"/>
      <c r="IBQ29" s="388"/>
      <c r="IBR29" s="388"/>
      <c r="IBS29" s="388"/>
      <c r="IBT29" s="388"/>
      <c r="IBU29" s="388"/>
      <c r="IBV29" s="388"/>
      <c r="IBW29" s="388"/>
      <c r="IBX29" s="388"/>
      <c r="IBY29" s="388"/>
      <c r="IBZ29" s="388"/>
      <c r="ICA29" s="388"/>
      <c r="ICB29" s="388"/>
      <c r="ICC29" s="388"/>
      <c r="ICD29" s="388"/>
      <c r="ICE29" s="388"/>
      <c r="ICF29" s="388"/>
      <c r="ICG29" s="388"/>
      <c r="ICH29" s="388"/>
      <c r="ICI29" s="388"/>
      <c r="ICJ29" s="388"/>
      <c r="ICK29" s="388"/>
      <c r="ICL29" s="388"/>
      <c r="ICM29" s="388"/>
      <c r="ICN29" s="388"/>
      <c r="ICO29" s="388"/>
      <c r="ICP29" s="388"/>
      <c r="ICQ29" s="388"/>
      <c r="ICR29" s="388"/>
      <c r="ICS29" s="388"/>
      <c r="ICT29" s="388"/>
      <c r="ICU29" s="388"/>
      <c r="ICV29" s="388"/>
      <c r="ICW29" s="388"/>
      <c r="ICX29" s="388"/>
      <c r="ICY29" s="388"/>
      <c r="ICZ29" s="388"/>
      <c r="IDA29" s="388"/>
      <c r="IDB29" s="388"/>
      <c r="IDC29" s="388"/>
      <c r="IDD29" s="388"/>
      <c r="IDE29" s="388"/>
      <c r="IDF29" s="388"/>
      <c r="IDG29" s="388"/>
      <c r="IDH29" s="388"/>
      <c r="IDI29" s="388"/>
      <c r="IDJ29" s="388"/>
      <c r="IDK29" s="388"/>
      <c r="IDL29" s="388"/>
      <c r="IDM29" s="388"/>
      <c r="IDN29" s="388"/>
      <c r="IDO29" s="388"/>
      <c r="IDP29" s="388"/>
      <c r="IDQ29" s="388"/>
      <c r="IDR29" s="388"/>
      <c r="IDS29" s="388"/>
      <c r="IDT29" s="388"/>
      <c r="IDU29" s="388"/>
      <c r="IDV29" s="388"/>
      <c r="IDW29" s="388"/>
      <c r="IDX29" s="388"/>
      <c r="IDY29" s="388"/>
      <c r="IDZ29" s="388"/>
      <c r="IEA29" s="388"/>
      <c r="IEB29" s="388"/>
      <c r="IEC29" s="388"/>
      <c r="IED29" s="388"/>
      <c r="IEE29" s="388"/>
      <c r="IEF29" s="388"/>
      <c r="IEG29" s="388"/>
      <c r="IEH29" s="388"/>
      <c r="IEI29" s="388"/>
      <c r="IEJ29" s="388"/>
      <c r="IEK29" s="388"/>
      <c r="IEL29" s="388"/>
      <c r="IEM29" s="388"/>
      <c r="IEN29" s="388"/>
      <c r="IEO29" s="388"/>
      <c r="IEP29" s="388"/>
      <c r="IEQ29" s="388"/>
      <c r="IER29" s="388"/>
      <c r="IES29" s="388"/>
      <c r="IET29" s="388"/>
      <c r="IEU29" s="388"/>
      <c r="IEV29" s="388"/>
      <c r="IEW29" s="388"/>
      <c r="IEX29" s="388"/>
      <c r="IEY29" s="388"/>
      <c r="IEZ29" s="388"/>
      <c r="IFA29" s="388"/>
      <c r="IFB29" s="388"/>
      <c r="IFC29" s="388"/>
      <c r="IFD29" s="388"/>
      <c r="IFE29" s="388"/>
      <c r="IFF29" s="388"/>
      <c r="IFG29" s="388"/>
      <c r="IFH29" s="388"/>
      <c r="IFI29" s="388"/>
      <c r="IFJ29" s="388"/>
      <c r="IFK29" s="388"/>
      <c r="IFL29" s="388"/>
      <c r="IFM29" s="388"/>
      <c r="IFN29" s="388"/>
      <c r="IFO29" s="388"/>
      <c r="IFP29" s="388"/>
      <c r="IFQ29" s="388"/>
      <c r="IFR29" s="388"/>
      <c r="IFS29" s="388"/>
      <c r="IFT29" s="388"/>
      <c r="IFU29" s="388"/>
      <c r="IFV29" s="388"/>
      <c r="IFW29" s="388"/>
      <c r="IFX29" s="388"/>
      <c r="IFY29" s="388"/>
      <c r="IFZ29" s="388"/>
      <c r="IGA29" s="388"/>
      <c r="IGB29" s="388"/>
      <c r="IGC29" s="388"/>
      <c r="IGD29" s="388"/>
      <c r="IGE29" s="388"/>
      <c r="IGF29" s="388"/>
      <c r="IGG29" s="388"/>
      <c r="IGH29" s="388"/>
      <c r="IGI29" s="388"/>
      <c r="IGJ29" s="388"/>
      <c r="IGK29" s="388"/>
      <c r="IGL29" s="388"/>
      <c r="IGM29" s="388"/>
      <c r="IGN29" s="388"/>
      <c r="IGO29" s="388"/>
      <c r="IGP29" s="388"/>
      <c r="IGQ29" s="388"/>
      <c r="IGR29" s="388"/>
      <c r="IGS29" s="388"/>
      <c r="IGT29" s="388"/>
      <c r="IGU29" s="388"/>
      <c r="IGV29" s="388"/>
      <c r="IGW29" s="388"/>
      <c r="IGX29" s="388"/>
      <c r="IGY29" s="388"/>
      <c r="IGZ29" s="388"/>
      <c r="IHA29" s="388"/>
      <c r="IHB29" s="388"/>
      <c r="IHC29" s="388"/>
      <c r="IHD29" s="388"/>
      <c r="IHE29" s="388"/>
      <c r="IHF29" s="388"/>
      <c r="IHG29" s="388"/>
      <c r="IHH29" s="388"/>
      <c r="IHI29" s="388"/>
      <c r="IHJ29" s="388"/>
      <c r="IHK29" s="388"/>
      <c r="IHL29" s="388"/>
      <c r="IHM29" s="388"/>
      <c r="IHN29" s="388"/>
      <c r="IHO29" s="388"/>
      <c r="IHP29" s="388"/>
      <c r="IHQ29" s="388"/>
      <c r="IHR29" s="388"/>
      <c r="IHS29" s="388"/>
      <c r="IHT29" s="388"/>
      <c r="IHU29" s="388"/>
      <c r="IHV29" s="388"/>
      <c r="IHW29" s="388"/>
      <c r="IHX29" s="388"/>
      <c r="IHY29" s="388"/>
      <c r="IHZ29" s="388"/>
      <c r="IIA29" s="388"/>
      <c r="IIB29" s="388"/>
      <c r="IIC29" s="388"/>
      <c r="IID29" s="388"/>
      <c r="IIE29" s="388"/>
      <c r="IIF29" s="388"/>
      <c r="IIG29" s="388"/>
      <c r="IIH29" s="388"/>
      <c r="III29" s="388"/>
      <c r="IIJ29" s="388"/>
      <c r="IIK29" s="388"/>
      <c r="IIL29" s="388"/>
      <c r="IIM29" s="388"/>
      <c r="IIN29" s="388"/>
      <c r="IIO29" s="388"/>
      <c r="IIP29" s="388"/>
      <c r="IIQ29" s="388"/>
      <c r="IIR29" s="388"/>
      <c r="IIS29" s="388"/>
      <c r="IIT29" s="388"/>
      <c r="IIU29" s="388"/>
      <c r="IIV29" s="388"/>
      <c r="IIW29" s="388"/>
      <c r="IIX29" s="388"/>
      <c r="IIY29" s="388"/>
      <c r="IIZ29" s="388"/>
      <c r="IJA29" s="388"/>
      <c r="IJB29" s="388"/>
      <c r="IJC29" s="388"/>
      <c r="IJD29" s="388"/>
      <c r="IJE29" s="388"/>
      <c r="IJF29" s="388"/>
      <c r="IJG29" s="388"/>
      <c r="IJH29" s="388"/>
      <c r="IJI29" s="388"/>
      <c r="IJJ29" s="388"/>
      <c r="IJK29" s="388"/>
      <c r="IJL29" s="388"/>
      <c r="IJM29" s="388"/>
      <c r="IJN29" s="388"/>
      <c r="IJO29" s="388"/>
      <c r="IJP29" s="388"/>
      <c r="IJQ29" s="388"/>
      <c r="IJR29" s="388"/>
      <c r="IJS29" s="388"/>
      <c r="IJT29" s="388"/>
      <c r="IJU29" s="388"/>
      <c r="IJV29" s="388"/>
      <c r="IJW29" s="388"/>
      <c r="IJX29" s="388"/>
      <c r="IJY29" s="388"/>
      <c r="IJZ29" s="388"/>
      <c r="IKA29" s="388"/>
      <c r="IKB29" s="388"/>
      <c r="IKC29" s="388"/>
      <c r="IKD29" s="388"/>
      <c r="IKE29" s="388"/>
      <c r="IKF29" s="388"/>
      <c r="IKG29" s="388"/>
      <c r="IKH29" s="388"/>
      <c r="IKI29" s="388"/>
      <c r="IKJ29" s="388"/>
      <c r="IKK29" s="388"/>
      <c r="IKL29" s="388"/>
      <c r="IKM29" s="388"/>
      <c r="IKN29" s="388"/>
      <c r="IKO29" s="388"/>
      <c r="IKP29" s="388"/>
      <c r="IKQ29" s="388"/>
      <c r="IKR29" s="388"/>
      <c r="IKS29" s="388"/>
      <c r="IKT29" s="388"/>
      <c r="IKU29" s="388"/>
      <c r="IKV29" s="388"/>
      <c r="IKW29" s="388"/>
      <c r="IKX29" s="388"/>
      <c r="IKY29" s="388"/>
      <c r="IKZ29" s="388"/>
      <c r="ILA29" s="388"/>
      <c r="ILB29" s="388"/>
      <c r="ILC29" s="388"/>
      <c r="ILD29" s="388"/>
      <c r="ILE29" s="388"/>
      <c r="ILF29" s="388"/>
      <c r="ILG29" s="388"/>
      <c r="ILH29" s="388"/>
      <c r="ILI29" s="388"/>
      <c r="ILJ29" s="388"/>
      <c r="ILK29" s="388"/>
      <c r="ILL29" s="388"/>
      <c r="ILM29" s="388"/>
      <c r="ILN29" s="388"/>
      <c r="ILO29" s="388"/>
      <c r="ILP29" s="388"/>
      <c r="ILQ29" s="388"/>
      <c r="ILR29" s="388"/>
      <c r="ILS29" s="388"/>
      <c r="ILT29" s="388"/>
      <c r="ILU29" s="388"/>
      <c r="ILV29" s="388"/>
      <c r="ILW29" s="388"/>
      <c r="ILX29" s="388"/>
      <c r="ILY29" s="388"/>
      <c r="ILZ29" s="388"/>
      <c r="IMA29" s="388"/>
      <c r="IMB29" s="388"/>
      <c r="IMC29" s="388"/>
      <c r="IMD29" s="388"/>
      <c r="IME29" s="388"/>
      <c r="IMF29" s="388"/>
      <c r="IMG29" s="388"/>
      <c r="IMH29" s="388"/>
      <c r="IMI29" s="388"/>
      <c r="IMJ29" s="388"/>
      <c r="IMK29" s="388"/>
      <c r="IML29" s="388"/>
      <c r="IMM29" s="388"/>
      <c r="IMN29" s="388"/>
      <c r="IMO29" s="388"/>
      <c r="IMP29" s="388"/>
      <c r="IMQ29" s="388"/>
      <c r="IMR29" s="388"/>
      <c r="IMS29" s="388"/>
      <c r="IMT29" s="388"/>
      <c r="IMU29" s="388"/>
      <c r="IMV29" s="388"/>
      <c r="IMW29" s="388"/>
      <c r="IMX29" s="388"/>
      <c r="IMY29" s="388"/>
      <c r="IMZ29" s="388"/>
      <c r="INA29" s="388"/>
      <c r="INB29" s="388"/>
      <c r="INC29" s="388"/>
      <c r="IND29" s="388"/>
      <c r="INE29" s="388"/>
      <c r="INF29" s="388"/>
      <c r="ING29" s="388"/>
      <c r="INH29" s="388"/>
      <c r="INI29" s="388"/>
      <c r="INJ29" s="388"/>
      <c r="INK29" s="388"/>
      <c r="INL29" s="388"/>
      <c r="INM29" s="388"/>
      <c r="INN29" s="388"/>
      <c r="INO29" s="388"/>
      <c r="INP29" s="388"/>
      <c r="INQ29" s="388"/>
      <c r="INR29" s="388"/>
      <c r="INS29" s="388"/>
      <c r="INT29" s="388"/>
      <c r="INU29" s="388"/>
      <c r="INV29" s="388"/>
      <c r="INW29" s="388"/>
      <c r="INX29" s="388"/>
      <c r="INY29" s="388"/>
      <c r="INZ29" s="388"/>
      <c r="IOA29" s="388"/>
      <c r="IOB29" s="388"/>
      <c r="IOC29" s="388"/>
      <c r="IOD29" s="388"/>
      <c r="IOE29" s="388"/>
      <c r="IOF29" s="388"/>
      <c r="IOG29" s="388"/>
      <c r="IOH29" s="388"/>
      <c r="IOI29" s="388"/>
      <c r="IOJ29" s="388"/>
      <c r="IOK29" s="388"/>
      <c r="IOL29" s="388"/>
      <c r="IOM29" s="388"/>
      <c r="ION29" s="388"/>
      <c r="IOO29" s="388"/>
      <c r="IOP29" s="388"/>
      <c r="IOQ29" s="388"/>
      <c r="IOR29" s="388"/>
      <c r="IOS29" s="388"/>
      <c r="IOT29" s="388"/>
      <c r="IOU29" s="388"/>
      <c r="IOV29" s="388"/>
      <c r="IOW29" s="388"/>
      <c r="IOX29" s="388"/>
      <c r="IOY29" s="388"/>
      <c r="IOZ29" s="388"/>
      <c r="IPA29" s="388"/>
      <c r="IPB29" s="388"/>
      <c r="IPC29" s="388"/>
      <c r="IPD29" s="388"/>
      <c r="IPE29" s="388"/>
      <c r="IPF29" s="388"/>
      <c r="IPG29" s="388"/>
      <c r="IPH29" s="388"/>
      <c r="IPI29" s="388"/>
      <c r="IPJ29" s="388"/>
      <c r="IPK29" s="388"/>
      <c r="IPL29" s="388"/>
      <c r="IPM29" s="388"/>
      <c r="IPN29" s="388"/>
      <c r="IPO29" s="388"/>
      <c r="IPP29" s="388"/>
      <c r="IPQ29" s="388"/>
      <c r="IPR29" s="388"/>
      <c r="IPS29" s="388"/>
      <c r="IPT29" s="388"/>
      <c r="IPU29" s="388"/>
      <c r="IPV29" s="388"/>
      <c r="IPW29" s="388"/>
      <c r="IPX29" s="388"/>
      <c r="IPY29" s="388"/>
      <c r="IPZ29" s="388"/>
      <c r="IQA29" s="388"/>
      <c r="IQB29" s="388"/>
      <c r="IQC29" s="388"/>
      <c r="IQD29" s="388"/>
      <c r="IQE29" s="388"/>
      <c r="IQF29" s="388"/>
      <c r="IQG29" s="388"/>
      <c r="IQH29" s="388"/>
      <c r="IQI29" s="388"/>
      <c r="IQJ29" s="388"/>
      <c r="IQK29" s="388"/>
      <c r="IQL29" s="388"/>
      <c r="IQM29" s="388"/>
      <c r="IQN29" s="388"/>
      <c r="IQO29" s="388"/>
      <c r="IQP29" s="388"/>
      <c r="IQQ29" s="388"/>
      <c r="IQR29" s="388"/>
      <c r="IQS29" s="388"/>
      <c r="IQT29" s="388"/>
      <c r="IQU29" s="388"/>
      <c r="IQV29" s="388"/>
      <c r="IQW29" s="388"/>
      <c r="IQX29" s="388"/>
      <c r="IQY29" s="388"/>
      <c r="IQZ29" s="388"/>
      <c r="IRA29" s="388"/>
      <c r="IRB29" s="388"/>
      <c r="IRC29" s="388"/>
      <c r="IRD29" s="388"/>
      <c r="IRE29" s="388"/>
      <c r="IRF29" s="388"/>
      <c r="IRG29" s="388"/>
      <c r="IRH29" s="388"/>
      <c r="IRI29" s="388"/>
      <c r="IRJ29" s="388"/>
      <c r="IRK29" s="388"/>
      <c r="IRL29" s="388"/>
      <c r="IRM29" s="388"/>
      <c r="IRN29" s="388"/>
      <c r="IRO29" s="388"/>
      <c r="IRP29" s="388"/>
      <c r="IRQ29" s="388"/>
      <c r="IRR29" s="388"/>
      <c r="IRS29" s="388"/>
      <c r="IRT29" s="388"/>
      <c r="IRU29" s="388"/>
      <c r="IRV29" s="388"/>
      <c r="IRW29" s="388"/>
      <c r="IRX29" s="388"/>
      <c r="IRY29" s="388"/>
      <c r="IRZ29" s="388"/>
      <c r="ISA29" s="388"/>
      <c r="ISB29" s="388"/>
      <c r="ISC29" s="388"/>
      <c r="ISD29" s="388"/>
      <c r="ISE29" s="388"/>
      <c r="ISF29" s="388"/>
      <c r="ISG29" s="388"/>
      <c r="ISH29" s="388"/>
      <c r="ISI29" s="388"/>
      <c r="ISJ29" s="388"/>
      <c r="ISK29" s="388"/>
      <c r="ISL29" s="388"/>
      <c r="ISM29" s="388"/>
      <c r="ISN29" s="388"/>
      <c r="ISO29" s="388"/>
      <c r="ISP29" s="388"/>
      <c r="ISQ29" s="388"/>
      <c r="ISR29" s="388"/>
      <c r="ISS29" s="388"/>
      <c r="IST29" s="388"/>
      <c r="ISU29" s="388"/>
      <c r="ISV29" s="388"/>
      <c r="ISW29" s="388"/>
      <c r="ISX29" s="388"/>
      <c r="ISY29" s="388"/>
      <c r="ISZ29" s="388"/>
      <c r="ITA29" s="388"/>
      <c r="ITB29" s="388"/>
      <c r="ITC29" s="388"/>
      <c r="ITD29" s="388"/>
      <c r="ITE29" s="388"/>
      <c r="ITF29" s="388"/>
      <c r="ITG29" s="388"/>
      <c r="ITH29" s="388"/>
      <c r="ITI29" s="388"/>
      <c r="ITJ29" s="388"/>
      <c r="ITK29" s="388"/>
      <c r="ITL29" s="388"/>
      <c r="ITM29" s="388"/>
      <c r="ITN29" s="388"/>
      <c r="ITO29" s="388"/>
      <c r="ITP29" s="388"/>
      <c r="ITQ29" s="388"/>
      <c r="ITR29" s="388"/>
      <c r="ITS29" s="388"/>
      <c r="ITT29" s="388"/>
      <c r="ITU29" s="388"/>
      <c r="ITV29" s="388"/>
      <c r="ITW29" s="388"/>
      <c r="ITX29" s="388"/>
      <c r="ITY29" s="388"/>
      <c r="ITZ29" s="388"/>
      <c r="IUA29" s="388"/>
      <c r="IUB29" s="388"/>
      <c r="IUC29" s="388"/>
      <c r="IUD29" s="388"/>
      <c r="IUE29" s="388"/>
      <c r="IUF29" s="388"/>
      <c r="IUG29" s="388"/>
      <c r="IUH29" s="388"/>
      <c r="IUI29" s="388"/>
      <c r="IUJ29" s="388"/>
      <c r="IUK29" s="388"/>
      <c r="IUL29" s="388"/>
      <c r="IUM29" s="388"/>
      <c r="IUN29" s="388"/>
      <c r="IUO29" s="388"/>
      <c r="IUP29" s="388"/>
      <c r="IUQ29" s="388"/>
      <c r="IUR29" s="388"/>
      <c r="IUS29" s="388"/>
      <c r="IUT29" s="388"/>
      <c r="IUU29" s="388"/>
      <c r="IUV29" s="388"/>
      <c r="IUW29" s="388"/>
      <c r="IUX29" s="388"/>
      <c r="IUY29" s="388"/>
      <c r="IUZ29" s="388"/>
      <c r="IVA29" s="388"/>
      <c r="IVB29" s="388"/>
      <c r="IVC29" s="388"/>
      <c r="IVD29" s="388"/>
      <c r="IVE29" s="388"/>
      <c r="IVF29" s="388"/>
      <c r="IVG29" s="388"/>
      <c r="IVH29" s="388"/>
      <c r="IVI29" s="388"/>
      <c r="IVJ29" s="388"/>
      <c r="IVK29" s="388"/>
      <c r="IVL29" s="388"/>
      <c r="IVM29" s="388"/>
      <c r="IVN29" s="388"/>
      <c r="IVO29" s="388"/>
      <c r="IVP29" s="388"/>
      <c r="IVQ29" s="388"/>
      <c r="IVR29" s="388"/>
      <c r="IVS29" s="388"/>
      <c r="IVT29" s="388"/>
      <c r="IVU29" s="388"/>
      <c r="IVV29" s="388"/>
      <c r="IVW29" s="388"/>
      <c r="IVX29" s="388"/>
      <c r="IVY29" s="388"/>
      <c r="IVZ29" s="388"/>
      <c r="IWA29" s="388"/>
      <c r="IWB29" s="388"/>
      <c r="IWC29" s="388"/>
      <c r="IWD29" s="388"/>
      <c r="IWE29" s="388"/>
      <c r="IWF29" s="388"/>
      <c r="IWG29" s="388"/>
      <c r="IWH29" s="388"/>
      <c r="IWI29" s="388"/>
      <c r="IWJ29" s="388"/>
      <c r="IWK29" s="388"/>
      <c r="IWL29" s="388"/>
      <c r="IWM29" s="388"/>
      <c r="IWN29" s="388"/>
      <c r="IWO29" s="388"/>
      <c r="IWP29" s="388"/>
      <c r="IWQ29" s="388"/>
      <c r="IWR29" s="388"/>
      <c r="IWS29" s="388"/>
      <c r="IWT29" s="388"/>
      <c r="IWU29" s="388"/>
      <c r="IWV29" s="388"/>
      <c r="IWW29" s="388"/>
      <c r="IWX29" s="388"/>
      <c r="IWY29" s="388"/>
      <c r="IWZ29" s="388"/>
      <c r="IXA29" s="388"/>
      <c r="IXB29" s="388"/>
      <c r="IXC29" s="388"/>
      <c r="IXD29" s="388"/>
      <c r="IXE29" s="388"/>
      <c r="IXF29" s="388"/>
      <c r="IXG29" s="388"/>
      <c r="IXH29" s="388"/>
      <c r="IXI29" s="388"/>
      <c r="IXJ29" s="388"/>
      <c r="IXK29" s="388"/>
      <c r="IXL29" s="388"/>
      <c r="IXM29" s="388"/>
      <c r="IXN29" s="388"/>
      <c r="IXO29" s="388"/>
      <c r="IXP29" s="388"/>
      <c r="IXQ29" s="388"/>
      <c r="IXR29" s="388"/>
      <c r="IXS29" s="388"/>
      <c r="IXT29" s="388"/>
      <c r="IXU29" s="388"/>
      <c r="IXV29" s="388"/>
      <c r="IXW29" s="388"/>
      <c r="IXX29" s="388"/>
      <c r="IXY29" s="388"/>
      <c r="IXZ29" s="388"/>
      <c r="IYA29" s="388"/>
      <c r="IYB29" s="388"/>
      <c r="IYC29" s="388"/>
      <c r="IYD29" s="388"/>
      <c r="IYE29" s="388"/>
      <c r="IYF29" s="388"/>
      <c r="IYG29" s="388"/>
      <c r="IYH29" s="388"/>
      <c r="IYI29" s="388"/>
      <c r="IYJ29" s="388"/>
      <c r="IYK29" s="388"/>
      <c r="IYL29" s="388"/>
      <c r="IYM29" s="388"/>
      <c r="IYN29" s="388"/>
      <c r="IYO29" s="388"/>
      <c r="IYP29" s="388"/>
      <c r="IYQ29" s="388"/>
      <c r="IYR29" s="388"/>
      <c r="IYS29" s="388"/>
      <c r="IYT29" s="388"/>
      <c r="IYU29" s="388"/>
      <c r="IYV29" s="388"/>
      <c r="IYW29" s="388"/>
      <c r="IYX29" s="388"/>
      <c r="IYY29" s="388"/>
      <c r="IYZ29" s="388"/>
      <c r="IZA29" s="388"/>
      <c r="IZB29" s="388"/>
      <c r="IZC29" s="388"/>
      <c r="IZD29" s="388"/>
      <c r="IZE29" s="388"/>
      <c r="IZF29" s="388"/>
      <c r="IZG29" s="388"/>
      <c r="IZH29" s="388"/>
      <c r="IZI29" s="388"/>
      <c r="IZJ29" s="388"/>
      <c r="IZK29" s="388"/>
      <c r="IZL29" s="388"/>
      <c r="IZM29" s="388"/>
      <c r="IZN29" s="388"/>
      <c r="IZO29" s="388"/>
      <c r="IZP29" s="388"/>
      <c r="IZQ29" s="388"/>
      <c r="IZR29" s="388"/>
      <c r="IZS29" s="388"/>
      <c r="IZT29" s="388"/>
      <c r="IZU29" s="388"/>
      <c r="IZV29" s="388"/>
      <c r="IZW29" s="388"/>
      <c r="IZX29" s="388"/>
      <c r="IZY29" s="388"/>
      <c r="IZZ29" s="388"/>
      <c r="JAA29" s="388"/>
      <c r="JAB29" s="388"/>
      <c r="JAC29" s="388"/>
      <c r="JAD29" s="388"/>
      <c r="JAE29" s="388"/>
      <c r="JAF29" s="388"/>
      <c r="JAG29" s="388"/>
      <c r="JAH29" s="388"/>
      <c r="JAI29" s="388"/>
      <c r="JAJ29" s="388"/>
      <c r="JAK29" s="388"/>
      <c r="JAL29" s="388"/>
      <c r="JAM29" s="388"/>
      <c r="JAN29" s="388"/>
      <c r="JAO29" s="388"/>
      <c r="JAP29" s="388"/>
      <c r="JAQ29" s="388"/>
      <c r="JAR29" s="388"/>
      <c r="JAS29" s="388"/>
      <c r="JAT29" s="388"/>
      <c r="JAU29" s="388"/>
      <c r="JAV29" s="388"/>
      <c r="JAW29" s="388"/>
      <c r="JAX29" s="388"/>
      <c r="JAY29" s="388"/>
      <c r="JAZ29" s="388"/>
      <c r="JBA29" s="388"/>
      <c r="JBB29" s="388"/>
      <c r="JBC29" s="388"/>
      <c r="JBD29" s="388"/>
      <c r="JBE29" s="388"/>
      <c r="JBF29" s="388"/>
      <c r="JBG29" s="388"/>
      <c r="JBH29" s="388"/>
      <c r="JBI29" s="388"/>
      <c r="JBJ29" s="388"/>
      <c r="JBK29" s="388"/>
      <c r="JBL29" s="388"/>
      <c r="JBM29" s="388"/>
      <c r="JBN29" s="388"/>
      <c r="JBO29" s="388"/>
      <c r="JBP29" s="388"/>
      <c r="JBQ29" s="388"/>
      <c r="JBR29" s="388"/>
      <c r="JBS29" s="388"/>
      <c r="JBT29" s="388"/>
      <c r="JBU29" s="388"/>
      <c r="JBV29" s="388"/>
      <c r="JBW29" s="388"/>
      <c r="JBX29" s="388"/>
      <c r="JBY29" s="388"/>
      <c r="JBZ29" s="388"/>
      <c r="JCA29" s="388"/>
      <c r="JCB29" s="388"/>
      <c r="JCC29" s="388"/>
      <c r="JCD29" s="388"/>
      <c r="JCE29" s="388"/>
      <c r="JCF29" s="388"/>
      <c r="JCG29" s="388"/>
      <c r="JCH29" s="388"/>
      <c r="JCI29" s="388"/>
      <c r="JCJ29" s="388"/>
      <c r="JCK29" s="388"/>
      <c r="JCL29" s="388"/>
      <c r="JCM29" s="388"/>
      <c r="JCN29" s="388"/>
      <c r="JCO29" s="388"/>
      <c r="JCP29" s="388"/>
      <c r="JCQ29" s="388"/>
      <c r="JCR29" s="388"/>
      <c r="JCS29" s="388"/>
      <c r="JCT29" s="388"/>
      <c r="JCU29" s="388"/>
      <c r="JCV29" s="388"/>
      <c r="JCW29" s="388"/>
      <c r="JCX29" s="388"/>
      <c r="JCY29" s="388"/>
      <c r="JCZ29" s="388"/>
      <c r="JDA29" s="388"/>
      <c r="JDB29" s="388"/>
      <c r="JDC29" s="388"/>
      <c r="JDD29" s="388"/>
      <c r="JDE29" s="388"/>
      <c r="JDF29" s="388"/>
      <c r="JDG29" s="388"/>
      <c r="JDH29" s="388"/>
      <c r="JDI29" s="388"/>
      <c r="JDJ29" s="388"/>
      <c r="JDK29" s="388"/>
      <c r="JDL29" s="388"/>
      <c r="JDM29" s="388"/>
      <c r="JDN29" s="388"/>
      <c r="JDO29" s="388"/>
      <c r="JDP29" s="388"/>
      <c r="JDQ29" s="388"/>
      <c r="JDR29" s="388"/>
      <c r="JDS29" s="388"/>
      <c r="JDT29" s="388"/>
      <c r="JDU29" s="388"/>
      <c r="JDV29" s="388"/>
      <c r="JDW29" s="388"/>
      <c r="JDX29" s="388"/>
      <c r="JDY29" s="388"/>
      <c r="JDZ29" s="388"/>
      <c r="JEA29" s="388"/>
      <c r="JEB29" s="388"/>
      <c r="JEC29" s="388"/>
      <c r="JED29" s="388"/>
      <c r="JEE29" s="388"/>
      <c r="JEF29" s="388"/>
      <c r="JEG29" s="388"/>
      <c r="JEH29" s="388"/>
      <c r="JEI29" s="388"/>
      <c r="JEJ29" s="388"/>
      <c r="JEK29" s="388"/>
      <c r="JEL29" s="388"/>
      <c r="JEM29" s="388"/>
      <c r="JEN29" s="388"/>
      <c r="JEO29" s="388"/>
      <c r="JEP29" s="388"/>
      <c r="JEQ29" s="388"/>
      <c r="JER29" s="388"/>
      <c r="JES29" s="388"/>
      <c r="JET29" s="388"/>
      <c r="JEU29" s="388"/>
      <c r="JEV29" s="388"/>
      <c r="JEW29" s="388"/>
      <c r="JEX29" s="388"/>
      <c r="JEY29" s="388"/>
      <c r="JEZ29" s="388"/>
      <c r="JFA29" s="388"/>
      <c r="JFB29" s="388"/>
      <c r="JFC29" s="388"/>
      <c r="JFD29" s="388"/>
      <c r="JFE29" s="388"/>
      <c r="JFF29" s="388"/>
      <c r="JFG29" s="388"/>
      <c r="JFH29" s="388"/>
      <c r="JFI29" s="388"/>
      <c r="JFJ29" s="388"/>
      <c r="JFK29" s="388"/>
      <c r="JFL29" s="388"/>
      <c r="JFM29" s="388"/>
      <c r="JFN29" s="388"/>
      <c r="JFO29" s="388"/>
      <c r="JFP29" s="388"/>
      <c r="JFQ29" s="388"/>
      <c r="JFR29" s="388"/>
      <c r="JFS29" s="388"/>
      <c r="JFT29" s="388"/>
      <c r="JFU29" s="388"/>
      <c r="JFV29" s="388"/>
      <c r="JFW29" s="388"/>
      <c r="JFX29" s="388"/>
      <c r="JFY29" s="388"/>
      <c r="JFZ29" s="388"/>
      <c r="JGA29" s="388"/>
      <c r="JGB29" s="388"/>
      <c r="JGC29" s="388"/>
      <c r="JGD29" s="388"/>
      <c r="JGE29" s="388"/>
      <c r="JGF29" s="388"/>
      <c r="JGG29" s="388"/>
      <c r="JGH29" s="388"/>
      <c r="JGI29" s="388"/>
      <c r="JGJ29" s="388"/>
      <c r="JGK29" s="388"/>
      <c r="JGL29" s="388"/>
      <c r="JGM29" s="388"/>
      <c r="JGN29" s="388"/>
      <c r="JGO29" s="388"/>
      <c r="JGP29" s="388"/>
      <c r="JGQ29" s="388"/>
      <c r="JGR29" s="388"/>
      <c r="JGS29" s="388"/>
      <c r="JGT29" s="388"/>
      <c r="JGU29" s="388"/>
      <c r="JGV29" s="388"/>
      <c r="JGW29" s="388"/>
      <c r="JGX29" s="388"/>
      <c r="JGY29" s="388"/>
      <c r="JGZ29" s="388"/>
      <c r="JHA29" s="388"/>
      <c r="JHB29" s="388"/>
      <c r="JHC29" s="388"/>
      <c r="JHD29" s="388"/>
      <c r="JHE29" s="388"/>
      <c r="JHF29" s="388"/>
      <c r="JHG29" s="388"/>
      <c r="JHH29" s="388"/>
      <c r="JHI29" s="388"/>
      <c r="JHJ29" s="388"/>
      <c r="JHK29" s="388"/>
      <c r="JHL29" s="388"/>
      <c r="JHM29" s="388"/>
      <c r="JHN29" s="388"/>
      <c r="JHO29" s="388"/>
      <c r="JHP29" s="388"/>
      <c r="JHQ29" s="388"/>
      <c r="JHR29" s="388"/>
      <c r="JHS29" s="388"/>
      <c r="JHT29" s="388"/>
      <c r="JHU29" s="388"/>
      <c r="JHV29" s="388"/>
      <c r="JHW29" s="388"/>
      <c r="JHX29" s="388"/>
      <c r="JHY29" s="388"/>
      <c r="JHZ29" s="388"/>
      <c r="JIA29" s="388"/>
      <c r="JIB29" s="388"/>
      <c r="JIC29" s="388"/>
      <c r="JID29" s="388"/>
      <c r="JIE29" s="388"/>
      <c r="JIF29" s="388"/>
      <c r="JIG29" s="388"/>
      <c r="JIH29" s="388"/>
      <c r="JII29" s="388"/>
      <c r="JIJ29" s="388"/>
      <c r="JIK29" s="388"/>
      <c r="JIL29" s="388"/>
      <c r="JIM29" s="388"/>
      <c r="JIN29" s="388"/>
      <c r="JIO29" s="388"/>
      <c r="JIP29" s="388"/>
      <c r="JIQ29" s="388"/>
      <c r="JIR29" s="388"/>
      <c r="JIS29" s="388"/>
      <c r="JIT29" s="388"/>
      <c r="JIU29" s="388"/>
      <c r="JIV29" s="388"/>
      <c r="JIW29" s="388"/>
      <c r="JIX29" s="388"/>
      <c r="JIY29" s="388"/>
      <c r="JIZ29" s="388"/>
      <c r="JJA29" s="388"/>
      <c r="JJB29" s="388"/>
      <c r="JJC29" s="388"/>
      <c r="JJD29" s="388"/>
      <c r="JJE29" s="388"/>
      <c r="JJF29" s="388"/>
      <c r="JJG29" s="388"/>
      <c r="JJH29" s="388"/>
      <c r="JJI29" s="388"/>
      <c r="JJJ29" s="388"/>
      <c r="JJK29" s="388"/>
      <c r="JJL29" s="388"/>
      <c r="JJM29" s="388"/>
      <c r="JJN29" s="388"/>
      <c r="JJO29" s="388"/>
      <c r="JJP29" s="388"/>
      <c r="JJQ29" s="388"/>
      <c r="JJR29" s="388"/>
      <c r="JJS29" s="388"/>
      <c r="JJT29" s="388"/>
      <c r="JJU29" s="388"/>
      <c r="JJV29" s="388"/>
      <c r="JJW29" s="388"/>
      <c r="JJX29" s="388"/>
      <c r="JJY29" s="388"/>
      <c r="JJZ29" s="388"/>
      <c r="JKA29" s="388"/>
      <c r="JKB29" s="388"/>
      <c r="JKC29" s="388"/>
      <c r="JKD29" s="388"/>
      <c r="JKE29" s="388"/>
      <c r="JKF29" s="388"/>
      <c r="JKG29" s="388"/>
      <c r="JKH29" s="388"/>
      <c r="JKI29" s="388"/>
      <c r="JKJ29" s="388"/>
      <c r="JKK29" s="388"/>
      <c r="JKL29" s="388"/>
      <c r="JKM29" s="388"/>
      <c r="JKN29" s="388"/>
      <c r="JKO29" s="388"/>
      <c r="JKP29" s="388"/>
      <c r="JKQ29" s="388"/>
      <c r="JKR29" s="388"/>
      <c r="JKS29" s="388"/>
      <c r="JKT29" s="388"/>
      <c r="JKU29" s="388"/>
      <c r="JKV29" s="388"/>
      <c r="JKW29" s="388"/>
      <c r="JKX29" s="388"/>
      <c r="JKY29" s="388"/>
      <c r="JKZ29" s="388"/>
      <c r="JLA29" s="388"/>
      <c r="JLB29" s="388"/>
      <c r="JLC29" s="388"/>
      <c r="JLD29" s="388"/>
      <c r="JLE29" s="388"/>
      <c r="JLF29" s="388"/>
      <c r="JLG29" s="388"/>
      <c r="JLH29" s="388"/>
      <c r="JLI29" s="388"/>
      <c r="JLJ29" s="388"/>
      <c r="JLK29" s="388"/>
      <c r="JLL29" s="388"/>
      <c r="JLM29" s="388"/>
      <c r="JLN29" s="388"/>
      <c r="JLO29" s="388"/>
      <c r="JLP29" s="388"/>
      <c r="JLQ29" s="388"/>
      <c r="JLR29" s="388"/>
      <c r="JLS29" s="388"/>
      <c r="JLT29" s="388"/>
      <c r="JLU29" s="388"/>
      <c r="JLV29" s="388"/>
      <c r="JLW29" s="388"/>
      <c r="JLX29" s="388"/>
      <c r="JLY29" s="388"/>
      <c r="JLZ29" s="388"/>
      <c r="JMA29" s="388"/>
      <c r="JMB29" s="388"/>
      <c r="JMC29" s="388"/>
      <c r="JMD29" s="388"/>
      <c r="JME29" s="388"/>
      <c r="JMF29" s="388"/>
      <c r="JMG29" s="388"/>
      <c r="JMH29" s="388"/>
      <c r="JMI29" s="388"/>
      <c r="JMJ29" s="388"/>
      <c r="JMK29" s="388"/>
      <c r="JML29" s="388"/>
      <c r="JMM29" s="388"/>
      <c r="JMN29" s="388"/>
      <c r="JMO29" s="388"/>
      <c r="JMP29" s="388"/>
      <c r="JMQ29" s="388"/>
      <c r="JMR29" s="388"/>
      <c r="JMS29" s="388"/>
      <c r="JMT29" s="388"/>
      <c r="JMU29" s="388"/>
      <c r="JMV29" s="388"/>
      <c r="JMW29" s="388"/>
      <c r="JMX29" s="388"/>
      <c r="JMY29" s="388"/>
      <c r="JMZ29" s="388"/>
      <c r="JNA29" s="388"/>
      <c r="JNB29" s="388"/>
      <c r="JNC29" s="388"/>
      <c r="JND29" s="388"/>
      <c r="JNE29" s="388"/>
      <c r="JNF29" s="388"/>
      <c r="JNG29" s="388"/>
      <c r="JNH29" s="388"/>
      <c r="JNI29" s="388"/>
      <c r="JNJ29" s="388"/>
      <c r="JNK29" s="388"/>
      <c r="JNL29" s="388"/>
      <c r="JNM29" s="388"/>
      <c r="JNN29" s="388"/>
      <c r="JNO29" s="388"/>
      <c r="JNP29" s="388"/>
      <c r="JNQ29" s="388"/>
      <c r="JNR29" s="388"/>
      <c r="JNS29" s="388"/>
      <c r="JNT29" s="388"/>
      <c r="JNU29" s="388"/>
      <c r="JNV29" s="388"/>
      <c r="JNW29" s="388"/>
      <c r="JNX29" s="388"/>
      <c r="JNY29" s="388"/>
      <c r="JNZ29" s="388"/>
      <c r="JOA29" s="388"/>
      <c r="JOB29" s="388"/>
      <c r="JOC29" s="388"/>
      <c r="JOD29" s="388"/>
      <c r="JOE29" s="388"/>
      <c r="JOF29" s="388"/>
      <c r="JOG29" s="388"/>
      <c r="JOH29" s="388"/>
      <c r="JOI29" s="388"/>
      <c r="JOJ29" s="388"/>
      <c r="JOK29" s="388"/>
      <c r="JOL29" s="388"/>
      <c r="JOM29" s="388"/>
      <c r="JON29" s="388"/>
      <c r="JOO29" s="388"/>
      <c r="JOP29" s="388"/>
      <c r="JOQ29" s="388"/>
      <c r="JOR29" s="388"/>
      <c r="JOS29" s="388"/>
      <c r="JOT29" s="388"/>
      <c r="JOU29" s="388"/>
      <c r="JOV29" s="388"/>
      <c r="JOW29" s="388"/>
      <c r="JOX29" s="388"/>
      <c r="JOY29" s="388"/>
      <c r="JOZ29" s="388"/>
      <c r="JPA29" s="388"/>
      <c r="JPB29" s="388"/>
      <c r="JPC29" s="388"/>
      <c r="JPD29" s="388"/>
      <c r="JPE29" s="388"/>
      <c r="JPF29" s="388"/>
      <c r="JPG29" s="388"/>
      <c r="JPH29" s="388"/>
      <c r="JPI29" s="388"/>
      <c r="JPJ29" s="388"/>
      <c r="JPK29" s="388"/>
      <c r="JPL29" s="388"/>
      <c r="JPM29" s="388"/>
      <c r="JPN29" s="388"/>
      <c r="JPO29" s="388"/>
      <c r="JPP29" s="388"/>
      <c r="JPQ29" s="388"/>
      <c r="JPR29" s="388"/>
      <c r="JPS29" s="388"/>
      <c r="JPT29" s="388"/>
      <c r="JPU29" s="388"/>
      <c r="JPV29" s="388"/>
      <c r="JPW29" s="388"/>
      <c r="JPX29" s="388"/>
      <c r="JPY29" s="388"/>
      <c r="JPZ29" s="388"/>
      <c r="JQA29" s="388"/>
      <c r="JQB29" s="388"/>
      <c r="JQC29" s="388"/>
      <c r="JQD29" s="388"/>
      <c r="JQE29" s="388"/>
      <c r="JQF29" s="388"/>
      <c r="JQG29" s="388"/>
      <c r="JQH29" s="388"/>
      <c r="JQI29" s="388"/>
      <c r="JQJ29" s="388"/>
      <c r="JQK29" s="388"/>
      <c r="JQL29" s="388"/>
      <c r="JQM29" s="388"/>
      <c r="JQN29" s="388"/>
      <c r="JQO29" s="388"/>
      <c r="JQP29" s="388"/>
      <c r="JQQ29" s="388"/>
      <c r="JQR29" s="388"/>
      <c r="JQS29" s="388"/>
      <c r="JQT29" s="388"/>
      <c r="JQU29" s="388"/>
      <c r="JQV29" s="388"/>
      <c r="JQW29" s="388"/>
      <c r="JQX29" s="388"/>
      <c r="JQY29" s="388"/>
      <c r="JQZ29" s="388"/>
      <c r="JRA29" s="388"/>
      <c r="JRB29" s="388"/>
      <c r="JRC29" s="388"/>
      <c r="JRD29" s="388"/>
      <c r="JRE29" s="388"/>
      <c r="JRF29" s="388"/>
      <c r="JRG29" s="388"/>
      <c r="JRH29" s="388"/>
      <c r="JRI29" s="388"/>
      <c r="JRJ29" s="388"/>
      <c r="JRK29" s="388"/>
      <c r="JRL29" s="388"/>
      <c r="JRM29" s="388"/>
      <c r="JRN29" s="388"/>
      <c r="JRO29" s="388"/>
      <c r="JRP29" s="388"/>
      <c r="JRQ29" s="388"/>
      <c r="JRR29" s="388"/>
      <c r="JRS29" s="388"/>
      <c r="JRT29" s="388"/>
      <c r="JRU29" s="388"/>
      <c r="JRV29" s="388"/>
      <c r="JRW29" s="388"/>
      <c r="JRX29" s="388"/>
      <c r="JRY29" s="388"/>
      <c r="JRZ29" s="388"/>
      <c r="JSA29" s="388"/>
      <c r="JSB29" s="388"/>
      <c r="JSC29" s="388"/>
      <c r="JSD29" s="388"/>
      <c r="JSE29" s="388"/>
      <c r="JSF29" s="388"/>
      <c r="JSG29" s="388"/>
      <c r="JSH29" s="388"/>
      <c r="JSI29" s="388"/>
      <c r="JSJ29" s="388"/>
      <c r="JSK29" s="388"/>
      <c r="JSL29" s="388"/>
      <c r="JSM29" s="388"/>
      <c r="JSN29" s="388"/>
      <c r="JSO29" s="388"/>
      <c r="JSP29" s="388"/>
      <c r="JSQ29" s="388"/>
      <c r="JSR29" s="388"/>
      <c r="JSS29" s="388"/>
      <c r="JST29" s="388"/>
      <c r="JSU29" s="388"/>
      <c r="JSV29" s="388"/>
      <c r="JSW29" s="388"/>
      <c r="JSX29" s="388"/>
      <c r="JSY29" s="388"/>
      <c r="JSZ29" s="388"/>
      <c r="JTA29" s="388"/>
      <c r="JTB29" s="388"/>
      <c r="JTC29" s="388"/>
      <c r="JTD29" s="388"/>
      <c r="JTE29" s="388"/>
      <c r="JTF29" s="388"/>
      <c r="JTG29" s="388"/>
      <c r="JTH29" s="388"/>
      <c r="JTI29" s="388"/>
      <c r="JTJ29" s="388"/>
      <c r="JTK29" s="388"/>
      <c r="JTL29" s="388"/>
      <c r="JTM29" s="388"/>
      <c r="JTN29" s="388"/>
      <c r="JTO29" s="388"/>
      <c r="JTP29" s="388"/>
      <c r="JTQ29" s="388"/>
      <c r="JTR29" s="388"/>
      <c r="JTS29" s="388"/>
      <c r="JTT29" s="388"/>
      <c r="JTU29" s="388"/>
      <c r="JTV29" s="388"/>
      <c r="JTW29" s="388"/>
      <c r="JTX29" s="388"/>
      <c r="JTY29" s="388"/>
      <c r="JTZ29" s="388"/>
      <c r="JUA29" s="388"/>
      <c r="JUB29" s="388"/>
      <c r="JUC29" s="388"/>
      <c r="JUD29" s="388"/>
      <c r="JUE29" s="388"/>
      <c r="JUF29" s="388"/>
      <c r="JUG29" s="388"/>
      <c r="JUH29" s="388"/>
      <c r="JUI29" s="388"/>
      <c r="JUJ29" s="388"/>
      <c r="JUK29" s="388"/>
      <c r="JUL29" s="388"/>
      <c r="JUM29" s="388"/>
      <c r="JUN29" s="388"/>
      <c r="JUO29" s="388"/>
      <c r="JUP29" s="388"/>
      <c r="JUQ29" s="388"/>
      <c r="JUR29" s="388"/>
      <c r="JUS29" s="388"/>
      <c r="JUT29" s="388"/>
      <c r="JUU29" s="388"/>
      <c r="JUV29" s="388"/>
      <c r="JUW29" s="388"/>
      <c r="JUX29" s="388"/>
      <c r="JUY29" s="388"/>
      <c r="JUZ29" s="388"/>
      <c r="JVA29" s="388"/>
      <c r="JVB29" s="388"/>
      <c r="JVC29" s="388"/>
      <c r="JVD29" s="388"/>
      <c r="JVE29" s="388"/>
      <c r="JVF29" s="388"/>
      <c r="JVG29" s="388"/>
      <c r="JVH29" s="388"/>
      <c r="JVI29" s="388"/>
      <c r="JVJ29" s="388"/>
      <c r="JVK29" s="388"/>
      <c r="JVL29" s="388"/>
      <c r="JVM29" s="388"/>
      <c r="JVN29" s="388"/>
      <c r="JVO29" s="388"/>
      <c r="JVP29" s="388"/>
      <c r="JVQ29" s="388"/>
      <c r="JVR29" s="388"/>
      <c r="JVS29" s="388"/>
      <c r="JVT29" s="388"/>
      <c r="JVU29" s="388"/>
      <c r="JVV29" s="388"/>
      <c r="JVW29" s="388"/>
      <c r="JVX29" s="388"/>
      <c r="JVY29" s="388"/>
      <c r="JVZ29" s="388"/>
      <c r="JWA29" s="388"/>
      <c r="JWB29" s="388"/>
      <c r="JWC29" s="388"/>
      <c r="JWD29" s="388"/>
      <c r="JWE29" s="388"/>
      <c r="JWF29" s="388"/>
      <c r="JWG29" s="388"/>
      <c r="JWH29" s="388"/>
      <c r="JWI29" s="388"/>
      <c r="JWJ29" s="388"/>
      <c r="JWK29" s="388"/>
      <c r="JWL29" s="388"/>
      <c r="JWM29" s="388"/>
      <c r="JWN29" s="388"/>
      <c r="JWO29" s="388"/>
      <c r="JWP29" s="388"/>
      <c r="JWQ29" s="388"/>
      <c r="JWR29" s="388"/>
      <c r="JWS29" s="388"/>
      <c r="JWT29" s="388"/>
      <c r="JWU29" s="388"/>
      <c r="JWV29" s="388"/>
      <c r="JWW29" s="388"/>
      <c r="JWX29" s="388"/>
      <c r="JWY29" s="388"/>
      <c r="JWZ29" s="388"/>
      <c r="JXA29" s="388"/>
      <c r="JXB29" s="388"/>
      <c r="JXC29" s="388"/>
      <c r="JXD29" s="388"/>
      <c r="JXE29" s="388"/>
      <c r="JXF29" s="388"/>
      <c r="JXG29" s="388"/>
      <c r="JXH29" s="388"/>
      <c r="JXI29" s="388"/>
      <c r="JXJ29" s="388"/>
      <c r="JXK29" s="388"/>
      <c r="JXL29" s="388"/>
      <c r="JXM29" s="388"/>
      <c r="JXN29" s="388"/>
      <c r="JXO29" s="388"/>
      <c r="JXP29" s="388"/>
      <c r="JXQ29" s="388"/>
      <c r="JXR29" s="388"/>
      <c r="JXS29" s="388"/>
      <c r="JXT29" s="388"/>
      <c r="JXU29" s="388"/>
      <c r="JXV29" s="388"/>
      <c r="JXW29" s="388"/>
      <c r="JXX29" s="388"/>
      <c r="JXY29" s="388"/>
      <c r="JXZ29" s="388"/>
      <c r="JYA29" s="388"/>
      <c r="JYB29" s="388"/>
      <c r="JYC29" s="388"/>
      <c r="JYD29" s="388"/>
      <c r="JYE29" s="388"/>
      <c r="JYF29" s="388"/>
      <c r="JYG29" s="388"/>
      <c r="JYH29" s="388"/>
      <c r="JYI29" s="388"/>
      <c r="JYJ29" s="388"/>
      <c r="JYK29" s="388"/>
      <c r="JYL29" s="388"/>
      <c r="JYM29" s="388"/>
      <c r="JYN29" s="388"/>
      <c r="JYO29" s="388"/>
      <c r="JYP29" s="388"/>
      <c r="JYQ29" s="388"/>
      <c r="JYR29" s="388"/>
      <c r="JYS29" s="388"/>
      <c r="JYT29" s="388"/>
      <c r="JYU29" s="388"/>
      <c r="JYV29" s="388"/>
      <c r="JYW29" s="388"/>
      <c r="JYX29" s="388"/>
      <c r="JYY29" s="388"/>
      <c r="JYZ29" s="388"/>
      <c r="JZA29" s="388"/>
      <c r="JZB29" s="388"/>
      <c r="JZC29" s="388"/>
      <c r="JZD29" s="388"/>
      <c r="JZE29" s="388"/>
      <c r="JZF29" s="388"/>
      <c r="JZG29" s="388"/>
      <c r="JZH29" s="388"/>
      <c r="JZI29" s="388"/>
      <c r="JZJ29" s="388"/>
      <c r="JZK29" s="388"/>
      <c r="JZL29" s="388"/>
      <c r="JZM29" s="388"/>
      <c r="JZN29" s="388"/>
      <c r="JZO29" s="388"/>
      <c r="JZP29" s="388"/>
      <c r="JZQ29" s="388"/>
      <c r="JZR29" s="388"/>
      <c r="JZS29" s="388"/>
      <c r="JZT29" s="388"/>
      <c r="JZU29" s="388"/>
      <c r="JZV29" s="388"/>
      <c r="JZW29" s="388"/>
      <c r="JZX29" s="388"/>
      <c r="JZY29" s="388"/>
      <c r="JZZ29" s="388"/>
      <c r="KAA29" s="388"/>
      <c r="KAB29" s="388"/>
      <c r="KAC29" s="388"/>
      <c r="KAD29" s="388"/>
      <c r="KAE29" s="388"/>
      <c r="KAF29" s="388"/>
      <c r="KAG29" s="388"/>
      <c r="KAH29" s="388"/>
      <c r="KAI29" s="388"/>
      <c r="KAJ29" s="388"/>
      <c r="KAK29" s="388"/>
      <c r="KAL29" s="388"/>
      <c r="KAM29" s="388"/>
      <c r="KAN29" s="388"/>
      <c r="KAO29" s="388"/>
      <c r="KAP29" s="388"/>
      <c r="KAQ29" s="388"/>
      <c r="KAR29" s="388"/>
      <c r="KAS29" s="388"/>
      <c r="KAT29" s="388"/>
      <c r="KAU29" s="388"/>
      <c r="KAV29" s="388"/>
      <c r="KAW29" s="388"/>
      <c r="KAX29" s="388"/>
      <c r="KAY29" s="388"/>
      <c r="KAZ29" s="388"/>
      <c r="KBA29" s="388"/>
      <c r="KBB29" s="388"/>
      <c r="KBC29" s="388"/>
      <c r="KBD29" s="388"/>
      <c r="KBE29" s="388"/>
      <c r="KBF29" s="388"/>
      <c r="KBG29" s="388"/>
      <c r="KBH29" s="388"/>
      <c r="KBI29" s="388"/>
      <c r="KBJ29" s="388"/>
      <c r="KBK29" s="388"/>
      <c r="KBL29" s="388"/>
      <c r="KBM29" s="388"/>
      <c r="KBN29" s="388"/>
      <c r="KBO29" s="388"/>
      <c r="KBP29" s="388"/>
      <c r="KBQ29" s="388"/>
      <c r="KBR29" s="388"/>
      <c r="KBS29" s="388"/>
      <c r="KBT29" s="388"/>
      <c r="KBU29" s="388"/>
      <c r="KBV29" s="388"/>
      <c r="KBW29" s="388"/>
      <c r="KBX29" s="388"/>
      <c r="KBY29" s="388"/>
      <c r="KBZ29" s="388"/>
      <c r="KCA29" s="388"/>
      <c r="KCB29" s="388"/>
      <c r="KCC29" s="388"/>
      <c r="KCD29" s="388"/>
      <c r="KCE29" s="388"/>
      <c r="KCF29" s="388"/>
      <c r="KCG29" s="388"/>
      <c r="KCH29" s="388"/>
      <c r="KCI29" s="388"/>
      <c r="KCJ29" s="388"/>
      <c r="KCK29" s="388"/>
      <c r="KCL29" s="388"/>
      <c r="KCM29" s="388"/>
      <c r="KCN29" s="388"/>
      <c r="KCO29" s="388"/>
      <c r="KCP29" s="388"/>
      <c r="KCQ29" s="388"/>
      <c r="KCR29" s="388"/>
      <c r="KCS29" s="388"/>
      <c r="KCT29" s="388"/>
      <c r="KCU29" s="388"/>
      <c r="KCV29" s="388"/>
      <c r="KCW29" s="388"/>
      <c r="KCX29" s="388"/>
      <c r="KCY29" s="388"/>
      <c r="KCZ29" s="388"/>
      <c r="KDA29" s="388"/>
      <c r="KDB29" s="388"/>
      <c r="KDC29" s="388"/>
      <c r="KDD29" s="388"/>
      <c r="KDE29" s="388"/>
      <c r="KDF29" s="388"/>
      <c r="KDG29" s="388"/>
      <c r="KDH29" s="388"/>
      <c r="KDI29" s="388"/>
      <c r="KDJ29" s="388"/>
      <c r="KDK29" s="388"/>
      <c r="KDL29" s="388"/>
      <c r="KDM29" s="388"/>
      <c r="KDN29" s="388"/>
      <c r="KDO29" s="388"/>
      <c r="KDP29" s="388"/>
      <c r="KDQ29" s="388"/>
      <c r="KDR29" s="388"/>
      <c r="KDS29" s="388"/>
      <c r="KDT29" s="388"/>
      <c r="KDU29" s="388"/>
      <c r="KDV29" s="388"/>
      <c r="KDW29" s="388"/>
      <c r="KDX29" s="388"/>
      <c r="KDY29" s="388"/>
      <c r="KDZ29" s="388"/>
      <c r="KEA29" s="388"/>
      <c r="KEB29" s="388"/>
      <c r="KEC29" s="388"/>
      <c r="KED29" s="388"/>
      <c r="KEE29" s="388"/>
      <c r="KEF29" s="388"/>
      <c r="KEG29" s="388"/>
      <c r="KEH29" s="388"/>
      <c r="KEI29" s="388"/>
      <c r="KEJ29" s="388"/>
      <c r="KEK29" s="388"/>
      <c r="KEL29" s="388"/>
      <c r="KEM29" s="388"/>
      <c r="KEN29" s="388"/>
      <c r="KEO29" s="388"/>
      <c r="KEP29" s="388"/>
      <c r="KEQ29" s="388"/>
      <c r="KER29" s="388"/>
      <c r="KES29" s="388"/>
      <c r="KET29" s="388"/>
      <c r="KEU29" s="388"/>
      <c r="KEV29" s="388"/>
      <c r="KEW29" s="388"/>
      <c r="KEX29" s="388"/>
      <c r="KEY29" s="388"/>
      <c r="KEZ29" s="388"/>
      <c r="KFA29" s="388"/>
      <c r="KFB29" s="388"/>
      <c r="KFC29" s="388"/>
      <c r="KFD29" s="388"/>
      <c r="KFE29" s="388"/>
      <c r="KFF29" s="388"/>
      <c r="KFG29" s="388"/>
      <c r="KFH29" s="388"/>
      <c r="KFI29" s="388"/>
      <c r="KFJ29" s="388"/>
      <c r="KFK29" s="388"/>
      <c r="KFL29" s="388"/>
      <c r="KFM29" s="388"/>
      <c r="KFN29" s="388"/>
      <c r="KFO29" s="388"/>
      <c r="KFP29" s="388"/>
      <c r="KFQ29" s="388"/>
      <c r="KFR29" s="388"/>
      <c r="KFS29" s="388"/>
      <c r="KFT29" s="388"/>
      <c r="KFU29" s="388"/>
      <c r="KFV29" s="388"/>
      <c r="KFW29" s="388"/>
      <c r="KFX29" s="388"/>
      <c r="KFY29" s="388"/>
      <c r="KFZ29" s="388"/>
      <c r="KGA29" s="388"/>
      <c r="KGB29" s="388"/>
      <c r="KGC29" s="388"/>
      <c r="KGD29" s="388"/>
      <c r="KGE29" s="388"/>
      <c r="KGF29" s="388"/>
      <c r="KGG29" s="388"/>
      <c r="KGH29" s="388"/>
      <c r="KGI29" s="388"/>
      <c r="KGJ29" s="388"/>
      <c r="KGK29" s="388"/>
      <c r="KGL29" s="388"/>
      <c r="KGM29" s="388"/>
      <c r="KGN29" s="388"/>
      <c r="KGO29" s="388"/>
      <c r="KGP29" s="388"/>
      <c r="KGQ29" s="388"/>
      <c r="KGR29" s="388"/>
      <c r="KGS29" s="388"/>
      <c r="KGT29" s="388"/>
      <c r="KGU29" s="388"/>
      <c r="KGV29" s="388"/>
      <c r="KGW29" s="388"/>
      <c r="KGX29" s="388"/>
      <c r="KGY29" s="388"/>
      <c r="KGZ29" s="388"/>
      <c r="KHA29" s="388"/>
      <c r="KHB29" s="388"/>
      <c r="KHC29" s="388"/>
      <c r="KHD29" s="388"/>
      <c r="KHE29" s="388"/>
      <c r="KHF29" s="388"/>
      <c r="KHG29" s="388"/>
      <c r="KHH29" s="388"/>
      <c r="KHI29" s="388"/>
      <c r="KHJ29" s="388"/>
      <c r="KHK29" s="388"/>
      <c r="KHL29" s="388"/>
      <c r="KHM29" s="388"/>
      <c r="KHN29" s="388"/>
      <c r="KHO29" s="388"/>
      <c r="KHP29" s="388"/>
      <c r="KHQ29" s="388"/>
      <c r="KHR29" s="388"/>
      <c r="KHS29" s="388"/>
      <c r="KHT29" s="388"/>
      <c r="KHU29" s="388"/>
      <c r="KHV29" s="388"/>
      <c r="KHW29" s="388"/>
      <c r="KHX29" s="388"/>
      <c r="KHY29" s="388"/>
      <c r="KHZ29" s="388"/>
      <c r="KIA29" s="388"/>
      <c r="KIB29" s="388"/>
      <c r="KIC29" s="388"/>
      <c r="KID29" s="388"/>
      <c r="KIE29" s="388"/>
      <c r="KIF29" s="388"/>
      <c r="KIG29" s="388"/>
      <c r="KIH29" s="388"/>
      <c r="KII29" s="388"/>
      <c r="KIJ29" s="388"/>
      <c r="KIK29" s="388"/>
      <c r="KIL29" s="388"/>
      <c r="KIM29" s="388"/>
      <c r="KIN29" s="388"/>
      <c r="KIO29" s="388"/>
      <c r="KIP29" s="388"/>
      <c r="KIQ29" s="388"/>
      <c r="KIR29" s="388"/>
      <c r="KIS29" s="388"/>
      <c r="KIT29" s="388"/>
      <c r="KIU29" s="388"/>
      <c r="KIV29" s="388"/>
      <c r="KIW29" s="388"/>
      <c r="KIX29" s="388"/>
      <c r="KIY29" s="388"/>
      <c r="KIZ29" s="388"/>
      <c r="KJA29" s="388"/>
      <c r="KJB29" s="388"/>
      <c r="KJC29" s="388"/>
      <c r="KJD29" s="388"/>
      <c r="KJE29" s="388"/>
      <c r="KJF29" s="388"/>
      <c r="KJG29" s="388"/>
      <c r="KJH29" s="388"/>
      <c r="KJI29" s="388"/>
      <c r="KJJ29" s="388"/>
      <c r="KJK29" s="388"/>
      <c r="KJL29" s="388"/>
      <c r="KJM29" s="388"/>
      <c r="KJN29" s="388"/>
      <c r="KJO29" s="388"/>
      <c r="KJP29" s="388"/>
      <c r="KJQ29" s="388"/>
      <c r="KJR29" s="388"/>
      <c r="KJS29" s="388"/>
      <c r="KJT29" s="388"/>
      <c r="KJU29" s="388"/>
      <c r="KJV29" s="388"/>
      <c r="KJW29" s="388"/>
      <c r="KJX29" s="388"/>
      <c r="KJY29" s="388"/>
      <c r="KJZ29" s="388"/>
      <c r="KKA29" s="388"/>
      <c r="KKB29" s="388"/>
      <c r="KKC29" s="388"/>
      <c r="KKD29" s="388"/>
      <c r="KKE29" s="388"/>
      <c r="KKF29" s="388"/>
      <c r="KKG29" s="388"/>
      <c r="KKH29" s="388"/>
      <c r="KKI29" s="388"/>
      <c r="KKJ29" s="388"/>
      <c r="KKK29" s="388"/>
      <c r="KKL29" s="388"/>
      <c r="KKM29" s="388"/>
      <c r="KKN29" s="388"/>
      <c r="KKO29" s="388"/>
      <c r="KKP29" s="388"/>
      <c r="KKQ29" s="388"/>
      <c r="KKR29" s="388"/>
      <c r="KKS29" s="388"/>
      <c r="KKT29" s="388"/>
      <c r="KKU29" s="388"/>
      <c r="KKV29" s="388"/>
      <c r="KKW29" s="388"/>
      <c r="KKX29" s="388"/>
      <c r="KKY29" s="388"/>
      <c r="KKZ29" s="388"/>
      <c r="KLA29" s="388"/>
      <c r="KLB29" s="388"/>
      <c r="KLC29" s="388"/>
      <c r="KLD29" s="388"/>
      <c r="KLE29" s="388"/>
      <c r="KLF29" s="388"/>
      <c r="KLG29" s="388"/>
      <c r="KLH29" s="388"/>
      <c r="KLI29" s="388"/>
      <c r="KLJ29" s="388"/>
      <c r="KLK29" s="388"/>
      <c r="KLL29" s="388"/>
      <c r="KLM29" s="388"/>
      <c r="KLN29" s="388"/>
      <c r="KLO29" s="388"/>
      <c r="KLP29" s="388"/>
      <c r="KLQ29" s="388"/>
      <c r="KLR29" s="388"/>
      <c r="KLS29" s="388"/>
      <c r="KLT29" s="388"/>
      <c r="KLU29" s="388"/>
      <c r="KLV29" s="388"/>
      <c r="KLW29" s="388"/>
      <c r="KLX29" s="388"/>
      <c r="KLY29" s="388"/>
      <c r="KLZ29" s="388"/>
      <c r="KMA29" s="388"/>
      <c r="KMB29" s="388"/>
      <c r="KMC29" s="388"/>
      <c r="KMD29" s="388"/>
      <c r="KME29" s="388"/>
      <c r="KMF29" s="388"/>
      <c r="KMG29" s="388"/>
      <c r="KMH29" s="388"/>
      <c r="KMI29" s="388"/>
      <c r="KMJ29" s="388"/>
      <c r="KMK29" s="388"/>
      <c r="KML29" s="388"/>
      <c r="KMM29" s="388"/>
      <c r="KMN29" s="388"/>
      <c r="KMO29" s="388"/>
      <c r="KMP29" s="388"/>
      <c r="KMQ29" s="388"/>
      <c r="KMR29" s="388"/>
      <c r="KMS29" s="388"/>
      <c r="KMT29" s="388"/>
      <c r="KMU29" s="388"/>
      <c r="KMV29" s="388"/>
      <c r="KMW29" s="388"/>
      <c r="KMX29" s="388"/>
      <c r="KMY29" s="388"/>
      <c r="KMZ29" s="388"/>
      <c r="KNA29" s="388"/>
      <c r="KNB29" s="388"/>
      <c r="KNC29" s="388"/>
      <c r="KND29" s="388"/>
      <c r="KNE29" s="388"/>
      <c r="KNF29" s="388"/>
      <c r="KNG29" s="388"/>
      <c r="KNH29" s="388"/>
      <c r="KNI29" s="388"/>
      <c r="KNJ29" s="388"/>
      <c r="KNK29" s="388"/>
      <c r="KNL29" s="388"/>
      <c r="KNM29" s="388"/>
      <c r="KNN29" s="388"/>
      <c r="KNO29" s="388"/>
      <c r="KNP29" s="388"/>
      <c r="KNQ29" s="388"/>
      <c r="KNR29" s="388"/>
      <c r="KNS29" s="388"/>
      <c r="KNT29" s="388"/>
      <c r="KNU29" s="388"/>
      <c r="KNV29" s="388"/>
      <c r="KNW29" s="388"/>
      <c r="KNX29" s="388"/>
      <c r="KNY29" s="388"/>
      <c r="KNZ29" s="388"/>
      <c r="KOA29" s="388"/>
      <c r="KOB29" s="388"/>
      <c r="KOC29" s="388"/>
      <c r="KOD29" s="388"/>
      <c r="KOE29" s="388"/>
      <c r="KOF29" s="388"/>
      <c r="KOG29" s="388"/>
      <c r="KOH29" s="388"/>
      <c r="KOI29" s="388"/>
      <c r="KOJ29" s="388"/>
      <c r="KOK29" s="388"/>
      <c r="KOL29" s="388"/>
      <c r="KOM29" s="388"/>
      <c r="KON29" s="388"/>
      <c r="KOO29" s="388"/>
      <c r="KOP29" s="388"/>
      <c r="KOQ29" s="388"/>
      <c r="KOR29" s="388"/>
      <c r="KOS29" s="388"/>
      <c r="KOT29" s="388"/>
      <c r="KOU29" s="388"/>
      <c r="KOV29" s="388"/>
      <c r="KOW29" s="388"/>
      <c r="KOX29" s="388"/>
      <c r="KOY29" s="388"/>
      <c r="KOZ29" s="388"/>
      <c r="KPA29" s="388"/>
      <c r="KPB29" s="388"/>
      <c r="KPC29" s="388"/>
      <c r="KPD29" s="388"/>
      <c r="KPE29" s="388"/>
      <c r="KPF29" s="388"/>
      <c r="KPG29" s="388"/>
      <c r="KPH29" s="388"/>
      <c r="KPI29" s="388"/>
      <c r="KPJ29" s="388"/>
      <c r="KPK29" s="388"/>
      <c r="KPL29" s="388"/>
      <c r="KPM29" s="388"/>
      <c r="KPN29" s="388"/>
      <c r="KPO29" s="388"/>
      <c r="KPP29" s="388"/>
      <c r="KPQ29" s="388"/>
      <c r="KPR29" s="388"/>
      <c r="KPS29" s="388"/>
      <c r="KPT29" s="388"/>
      <c r="KPU29" s="388"/>
      <c r="KPV29" s="388"/>
      <c r="KPW29" s="388"/>
      <c r="KPX29" s="388"/>
      <c r="KPY29" s="388"/>
      <c r="KPZ29" s="388"/>
      <c r="KQA29" s="388"/>
      <c r="KQB29" s="388"/>
      <c r="KQC29" s="388"/>
      <c r="KQD29" s="388"/>
      <c r="KQE29" s="388"/>
      <c r="KQF29" s="388"/>
      <c r="KQG29" s="388"/>
      <c r="KQH29" s="388"/>
      <c r="KQI29" s="388"/>
      <c r="KQJ29" s="388"/>
      <c r="KQK29" s="388"/>
      <c r="KQL29" s="388"/>
      <c r="KQM29" s="388"/>
      <c r="KQN29" s="388"/>
      <c r="KQO29" s="388"/>
      <c r="KQP29" s="388"/>
      <c r="KQQ29" s="388"/>
      <c r="KQR29" s="388"/>
      <c r="KQS29" s="388"/>
      <c r="KQT29" s="388"/>
      <c r="KQU29" s="388"/>
      <c r="KQV29" s="388"/>
      <c r="KQW29" s="388"/>
      <c r="KQX29" s="388"/>
      <c r="KQY29" s="388"/>
      <c r="KQZ29" s="388"/>
      <c r="KRA29" s="388"/>
      <c r="KRB29" s="388"/>
      <c r="KRC29" s="388"/>
      <c r="KRD29" s="388"/>
      <c r="KRE29" s="388"/>
      <c r="KRF29" s="388"/>
      <c r="KRG29" s="388"/>
      <c r="KRH29" s="388"/>
      <c r="KRI29" s="388"/>
      <c r="KRJ29" s="388"/>
      <c r="KRK29" s="388"/>
      <c r="KRL29" s="388"/>
      <c r="KRM29" s="388"/>
      <c r="KRN29" s="388"/>
      <c r="KRO29" s="388"/>
      <c r="KRP29" s="388"/>
      <c r="KRQ29" s="388"/>
      <c r="KRR29" s="388"/>
      <c r="KRS29" s="388"/>
      <c r="KRT29" s="388"/>
      <c r="KRU29" s="388"/>
      <c r="KRV29" s="388"/>
      <c r="KRW29" s="388"/>
      <c r="KRX29" s="388"/>
      <c r="KRY29" s="388"/>
      <c r="KRZ29" s="388"/>
      <c r="KSA29" s="388"/>
      <c r="KSB29" s="388"/>
      <c r="KSC29" s="388"/>
      <c r="KSD29" s="388"/>
      <c r="KSE29" s="388"/>
      <c r="KSF29" s="388"/>
      <c r="KSG29" s="388"/>
      <c r="KSH29" s="388"/>
      <c r="KSI29" s="388"/>
      <c r="KSJ29" s="388"/>
      <c r="KSK29" s="388"/>
      <c r="KSL29" s="388"/>
      <c r="KSM29" s="388"/>
      <c r="KSN29" s="388"/>
      <c r="KSO29" s="388"/>
      <c r="KSP29" s="388"/>
      <c r="KSQ29" s="388"/>
      <c r="KSR29" s="388"/>
      <c r="KSS29" s="388"/>
      <c r="KST29" s="388"/>
      <c r="KSU29" s="388"/>
      <c r="KSV29" s="388"/>
      <c r="KSW29" s="388"/>
      <c r="KSX29" s="388"/>
      <c r="KSY29" s="388"/>
      <c r="KSZ29" s="388"/>
      <c r="KTA29" s="388"/>
      <c r="KTB29" s="388"/>
      <c r="KTC29" s="388"/>
      <c r="KTD29" s="388"/>
      <c r="KTE29" s="388"/>
      <c r="KTF29" s="388"/>
      <c r="KTG29" s="388"/>
      <c r="KTH29" s="388"/>
      <c r="KTI29" s="388"/>
      <c r="KTJ29" s="388"/>
      <c r="KTK29" s="388"/>
      <c r="KTL29" s="388"/>
      <c r="KTM29" s="388"/>
      <c r="KTN29" s="388"/>
      <c r="KTO29" s="388"/>
      <c r="KTP29" s="388"/>
      <c r="KTQ29" s="388"/>
      <c r="KTR29" s="388"/>
      <c r="KTS29" s="388"/>
      <c r="KTT29" s="388"/>
      <c r="KTU29" s="388"/>
      <c r="KTV29" s="388"/>
      <c r="KTW29" s="388"/>
      <c r="KTX29" s="388"/>
      <c r="KTY29" s="388"/>
      <c r="KTZ29" s="388"/>
      <c r="KUA29" s="388"/>
      <c r="KUB29" s="388"/>
      <c r="KUC29" s="388"/>
      <c r="KUD29" s="388"/>
      <c r="KUE29" s="388"/>
      <c r="KUF29" s="388"/>
      <c r="KUG29" s="388"/>
      <c r="KUH29" s="388"/>
      <c r="KUI29" s="388"/>
      <c r="KUJ29" s="388"/>
      <c r="KUK29" s="388"/>
      <c r="KUL29" s="388"/>
      <c r="KUM29" s="388"/>
      <c r="KUN29" s="388"/>
      <c r="KUO29" s="388"/>
      <c r="KUP29" s="388"/>
      <c r="KUQ29" s="388"/>
      <c r="KUR29" s="388"/>
      <c r="KUS29" s="388"/>
      <c r="KUT29" s="388"/>
      <c r="KUU29" s="388"/>
      <c r="KUV29" s="388"/>
      <c r="KUW29" s="388"/>
      <c r="KUX29" s="388"/>
      <c r="KUY29" s="388"/>
      <c r="KUZ29" s="388"/>
      <c r="KVA29" s="388"/>
      <c r="KVB29" s="388"/>
      <c r="KVC29" s="388"/>
      <c r="KVD29" s="388"/>
      <c r="KVE29" s="388"/>
      <c r="KVF29" s="388"/>
      <c r="KVG29" s="388"/>
      <c r="KVH29" s="388"/>
      <c r="KVI29" s="388"/>
      <c r="KVJ29" s="388"/>
      <c r="KVK29" s="388"/>
      <c r="KVL29" s="388"/>
      <c r="KVM29" s="388"/>
      <c r="KVN29" s="388"/>
      <c r="KVO29" s="388"/>
      <c r="KVP29" s="388"/>
      <c r="KVQ29" s="388"/>
      <c r="KVR29" s="388"/>
      <c r="KVS29" s="388"/>
      <c r="KVT29" s="388"/>
      <c r="KVU29" s="388"/>
      <c r="KVV29" s="388"/>
      <c r="KVW29" s="388"/>
      <c r="KVX29" s="388"/>
      <c r="KVY29" s="388"/>
      <c r="KVZ29" s="388"/>
      <c r="KWA29" s="388"/>
      <c r="KWB29" s="388"/>
      <c r="KWC29" s="388"/>
      <c r="KWD29" s="388"/>
      <c r="KWE29" s="388"/>
      <c r="KWF29" s="388"/>
      <c r="KWG29" s="388"/>
      <c r="KWH29" s="388"/>
      <c r="KWI29" s="388"/>
      <c r="KWJ29" s="388"/>
      <c r="KWK29" s="388"/>
      <c r="KWL29" s="388"/>
      <c r="KWM29" s="388"/>
      <c r="KWN29" s="388"/>
      <c r="KWO29" s="388"/>
      <c r="KWP29" s="388"/>
      <c r="KWQ29" s="388"/>
      <c r="KWR29" s="388"/>
      <c r="KWS29" s="388"/>
      <c r="KWT29" s="388"/>
      <c r="KWU29" s="388"/>
      <c r="KWV29" s="388"/>
      <c r="KWW29" s="388"/>
      <c r="KWX29" s="388"/>
      <c r="KWY29" s="388"/>
      <c r="KWZ29" s="388"/>
      <c r="KXA29" s="388"/>
      <c r="KXB29" s="388"/>
      <c r="KXC29" s="388"/>
      <c r="KXD29" s="388"/>
      <c r="KXE29" s="388"/>
      <c r="KXF29" s="388"/>
      <c r="KXG29" s="388"/>
      <c r="KXH29" s="388"/>
      <c r="KXI29" s="388"/>
      <c r="KXJ29" s="388"/>
      <c r="KXK29" s="388"/>
      <c r="KXL29" s="388"/>
      <c r="KXM29" s="388"/>
      <c r="KXN29" s="388"/>
      <c r="KXO29" s="388"/>
      <c r="KXP29" s="388"/>
      <c r="KXQ29" s="388"/>
      <c r="KXR29" s="388"/>
      <c r="KXS29" s="388"/>
      <c r="KXT29" s="388"/>
      <c r="KXU29" s="388"/>
      <c r="KXV29" s="388"/>
      <c r="KXW29" s="388"/>
      <c r="KXX29" s="388"/>
      <c r="KXY29" s="388"/>
      <c r="KXZ29" s="388"/>
      <c r="KYA29" s="388"/>
      <c r="KYB29" s="388"/>
      <c r="KYC29" s="388"/>
      <c r="KYD29" s="388"/>
      <c r="KYE29" s="388"/>
      <c r="KYF29" s="388"/>
      <c r="KYG29" s="388"/>
      <c r="KYH29" s="388"/>
      <c r="KYI29" s="388"/>
      <c r="KYJ29" s="388"/>
      <c r="KYK29" s="388"/>
      <c r="KYL29" s="388"/>
      <c r="KYM29" s="388"/>
      <c r="KYN29" s="388"/>
      <c r="KYO29" s="388"/>
      <c r="KYP29" s="388"/>
      <c r="KYQ29" s="388"/>
      <c r="KYR29" s="388"/>
      <c r="KYS29" s="388"/>
      <c r="KYT29" s="388"/>
      <c r="KYU29" s="388"/>
      <c r="KYV29" s="388"/>
      <c r="KYW29" s="388"/>
      <c r="KYX29" s="388"/>
      <c r="KYY29" s="388"/>
      <c r="KYZ29" s="388"/>
      <c r="KZA29" s="388"/>
      <c r="KZB29" s="388"/>
      <c r="KZC29" s="388"/>
      <c r="KZD29" s="388"/>
      <c r="KZE29" s="388"/>
      <c r="KZF29" s="388"/>
      <c r="KZG29" s="388"/>
      <c r="KZH29" s="388"/>
      <c r="KZI29" s="388"/>
      <c r="KZJ29" s="388"/>
      <c r="KZK29" s="388"/>
      <c r="KZL29" s="388"/>
      <c r="KZM29" s="388"/>
      <c r="KZN29" s="388"/>
      <c r="KZO29" s="388"/>
      <c r="KZP29" s="388"/>
      <c r="KZQ29" s="388"/>
      <c r="KZR29" s="388"/>
      <c r="KZS29" s="388"/>
      <c r="KZT29" s="388"/>
      <c r="KZU29" s="388"/>
      <c r="KZV29" s="388"/>
      <c r="KZW29" s="388"/>
      <c r="KZX29" s="388"/>
      <c r="KZY29" s="388"/>
      <c r="KZZ29" s="388"/>
      <c r="LAA29" s="388"/>
      <c r="LAB29" s="388"/>
      <c r="LAC29" s="388"/>
      <c r="LAD29" s="388"/>
      <c r="LAE29" s="388"/>
      <c r="LAF29" s="388"/>
      <c r="LAG29" s="388"/>
      <c r="LAH29" s="388"/>
      <c r="LAI29" s="388"/>
      <c r="LAJ29" s="388"/>
      <c r="LAK29" s="388"/>
      <c r="LAL29" s="388"/>
      <c r="LAM29" s="388"/>
      <c r="LAN29" s="388"/>
      <c r="LAO29" s="388"/>
      <c r="LAP29" s="388"/>
      <c r="LAQ29" s="388"/>
      <c r="LAR29" s="388"/>
      <c r="LAS29" s="388"/>
      <c r="LAT29" s="388"/>
      <c r="LAU29" s="388"/>
      <c r="LAV29" s="388"/>
      <c r="LAW29" s="388"/>
      <c r="LAX29" s="388"/>
      <c r="LAY29" s="388"/>
      <c r="LAZ29" s="388"/>
      <c r="LBA29" s="388"/>
      <c r="LBB29" s="388"/>
      <c r="LBC29" s="388"/>
      <c r="LBD29" s="388"/>
      <c r="LBE29" s="388"/>
      <c r="LBF29" s="388"/>
      <c r="LBG29" s="388"/>
      <c r="LBH29" s="388"/>
      <c r="LBI29" s="388"/>
      <c r="LBJ29" s="388"/>
      <c r="LBK29" s="388"/>
      <c r="LBL29" s="388"/>
      <c r="LBM29" s="388"/>
      <c r="LBN29" s="388"/>
      <c r="LBO29" s="388"/>
      <c r="LBP29" s="388"/>
      <c r="LBQ29" s="388"/>
      <c r="LBR29" s="388"/>
      <c r="LBS29" s="388"/>
      <c r="LBT29" s="388"/>
      <c r="LBU29" s="388"/>
      <c r="LBV29" s="388"/>
      <c r="LBW29" s="388"/>
      <c r="LBX29" s="388"/>
      <c r="LBY29" s="388"/>
      <c r="LBZ29" s="388"/>
      <c r="LCA29" s="388"/>
      <c r="LCB29" s="388"/>
      <c r="LCC29" s="388"/>
      <c r="LCD29" s="388"/>
      <c r="LCE29" s="388"/>
      <c r="LCF29" s="388"/>
      <c r="LCG29" s="388"/>
      <c r="LCH29" s="388"/>
      <c r="LCI29" s="388"/>
      <c r="LCJ29" s="388"/>
      <c r="LCK29" s="388"/>
      <c r="LCL29" s="388"/>
      <c r="LCM29" s="388"/>
      <c r="LCN29" s="388"/>
      <c r="LCO29" s="388"/>
      <c r="LCP29" s="388"/>
      <c r="LCQ29" s="388"/>
      <c r="LCR29" s="388"/>
      <c r="LCS29" s="388"/>
      <c r="LCT29" s="388"/>
      <c r="LCU29" s="388"/>
      <c r="LCV29" s="388"/>
      <c r="LCW29" s="388"/>
      <c r="LCX29" s="388"/>
      <c r="LCY29" s="388"/>
      <c r="LCZ29" s="388"/>
      <c r="LDA29" s="388"/>
      <c r="LDB29" s="388"/>
      <c r="LDC29" s="388"/>
      <c r="LDD29" s="388"/>
      <c r="LDE29" s="388"/>
      <c r="LDF29" s="388"/>
      <c r="LDG29" s="388"/>
      <c r="LDH29" s="388"/>
      <c r="LDI29" s="388"/>
      <c r="LDJ29" s="388"/>
      <c r="LDK29" s="388"/>
      <c r="LDL29" s="388"/>
      <c r="LDM29" s="388"/>
      <c r="LDN29" s="388"/>
      <c r="LDO29" s="388"/>
      <c r="LDP29" s="388"/>
      <c r="LDQ29" s="388"/>
      <c r="LDR29" s="388"/>
      <c r="LDS29" s="388"/>
      <c r="LDT29" s="388"/>
      <c r="LDU29" s="388"/>
      <c r="LDV29" s="388"/>
      <c r="LDW29" s="388"/>
      <c r="LDX29" s="388"/>
      <c r="LDY29" s="388"/>
      <c r="LDZ29" s="388"/>
      <c r="LEA29" s="388"/>
      <c r="LEB29" s="388"/>
      <c r="LEC29" s="388"/>
      <c r="LED29" s="388"/>
      <c r="LEE29" s="388"/>
      <c r="LEF29" s="388"/>
      <c r="LEG29" s="388"/>
      <c r="LEH29" s="388"/>
      <c r="LEI29" s="388"/>
      <c r="LEJ29" s="388"/>
      <c r="LEK29" s="388"/>
      <c r="LEL29" s="388"/>
      <c r="LEM29" s="388"/>
      <c r="LEN29" s="388"/>
      <c r="LEO29" s="388"/>
      <c r="LEP29" s="388"/>
      <c r="LEQ29" s="388"/>
      <c r="LER29" s="388"/>
      <c r="LES29" s="388"/>
      <c r="LET29" s="388"/>
      <c r="LEU29" s="388"/>
      <c r="LEV29" s="388"/>
      <c r="LEW29" s="388"/>
      <c r="LEX29" s="388"/>
      <c r="LEY29" s="388"/>
      <c r="LEZ29" s="388"/>
      <c r="LFA29" s="388"/>
      <c r="LFB29" s="388"/>
      <c r="LFC29" s="388"/>
      <c r="LFD29" s="388"/>
      <c r="LFE29" s="388"/>
      <c r="LFF29" s="388"/>
      <c r="LFG29" s="388"/>
      <c r="LFH29" s="388"/>
      <c r="LFI29" s="388"/>
      <c r="LFJ29" s="388"/>
      <c r="LFK29" s="388"/>
      <c r="LFL29" s="388"/>
      <c r="LFM29" s="388"/>
      <c r="LFN29" s="388"/>
      <c r="LFO29" s="388"/>
      <c r="LFP29" s="388"/>
      <c r="LFQ29" s="388"/>
      <c r="LFR29" s="388"/>
      <c r="LFS29" s="388"/>
      <c r="LFT29" s="388"/>
      <c r="LFU29" s="388"/>
      <c r="LFV29" s="388"/>
      <c r="LFW29" s="388"/>
      <c r="LFX29" s="388"/>
      <c r="LFY29" s="388"/>
      <c r="LFZ29" s="388"/>
      <c r="LGA29" s="388"/>
      <c r="LGB29" s="388"/>
      <c r="LGC29" s="388"/>
      <c r="LGD29" s="388"/>
      <c r="LGE29" s="388"/>
      <c r="LGF29" s="388"/>
      <c r="LGG29" s="388"/>
      <c r="LGH29" s="388"/>
      <c r="LGI29" s="388"/>
      <c r="LGJ29" s="388"/>
      <c r="LGK29" s="388"/>
      <c r="LGL29" s="388"/>
      <c r="LGM29" s="388"/>
      <c r="LGN29" s="388"/>
      <c r="LGO29" s="388"/>
      <c r="LGP29" s="388"/>
      <c r="LGQ29" s="388"/>
      <c r="LGR29" s="388"/>
      <c r="LGS29" s="388"/>
      <c r="LGT29" s="388"/>
      <c r="LGU29" s="388"/>
      <c r="LGV29" s="388"/>
      <c r="LGW29" s="388"/>
      <c r="LGX29" s="388"/>
      <c r="LGY29" s="388"/>
      <c r="LGZ29" s="388"/>
      <c r="LHA29" s="388"/>
      <c r="LHB29" s="388"/>
      <c r="LHC29" s="388"/>
      <c r="LHD29" s="388"/>
      <c r="LHE29" s="388"/>
      <c r="LHF29" s="388"/>
      <c r="LHG29" s="388"/>
      <c r="LHH29" s="388"/>
      <c r="LHI29" s="388"/>
      <c r="LHJ29" s="388"/>
      <c r="LHK29" s="388"/>
      <c r="LHL29" s="388"/>
      <c r="LHM29" s="388"/>
      <c r="LHN29" s="388"/>
      <c r="LHO29" s="388"/>
      <c r="LHP29" s="388"/>
      <c r="LHQ29" s="388"/>
      <c r="LHR29" s="388"/>
      <c r="LHS29" s="388"/>
      <c r="LHT29" s="388"/>
      <c r="LHU29" s="388"/>
      <c r="LHV29" s="388"/>
      <c r="LHW29" s="388"/>
      <c r="LHX29" s="388"/>
      <c r="LHY29" s="388"/>
      <c r="LHZ29" s="388"/>
      <c r="LIA29" s="388"/>
      <c r="LIB29" s="388"/>
      <c r="LIC29" s="388"/>
      <c r="LID29" s="388"/>
      <c r="LIE29" s="388"/>
      <c r="LIF29" s="388"/>
      <c r="LIG29" s="388"/>
      <c r="LIH29" s="388"/>
      <c r="LII29" s="388"/>
      <c r="LIJ29" s="388"/>
      <c r="LIK29" s="388"/>
      <c r="LIL29" s="388"/>
      <c r="LIM29" s="388"/>
      <c r="LIN29" s="388"/>
      <c r="LIO29" s="388"/>
      <c r="LIP29" s="388"/>
      <c r="LIQ29" s="388"/>
      <c r="LIR29" s="388"/>
      <c r="LIS29" s="388"/>
      <c r="LIT29" s="388"/>
      <c r="LIU29" s="388"/>
      <c r="LIV29" s="388"/>
      <c r="LIW29" s="388"/>
      <c r="LIX29" s="388"/>
      <c r="LIY29" s="388"/>
      <c r="LIZ29" s="388"/>
      <c r="LJA29" s="388"/>
      <c r="LJB29" s="388"/>
      <c r="LJC29" s="388"/>
      <c r="LJD29" s="388"/>
      <c r="LJE29" s="388"/>
      <c r="LJF29" s="388"/>
      <c r="LJG29" s="388"/>
      <c r="LJH29" s="388"/>
      <c r="LJI29" s="388"/>
      <c r="LJJ29" s="388"/>
      <c r="LJK29" s="388"/>
      <c r="LJL29" s="388"/>
      <c r="LJM29" s="388"/>
      <c r="LJN29" s="388"/>
      <c r="LJO29" s="388"/>
      <c r="LJP29" s="388"/>
      <c r="LJQ29" s="388"/>
      <c r="LJR29" s="388"/>
      <c r="LJS29" s="388"/>
      <c r="LJT29" s="388"/>
      <c r="LJU29" s="388"/>
      <c r="LJV29" s="388"/>
      <c r="LJW29" s="388"/>
      <c r="LJX29" s="388"/>
      <c r="LJY29" s="388"/>
      <c r="LJZ29" s="388"/>
      <c r="LKA29" s="388"/>
      <c r="LKB29" s="388"/>
      <c r="LKC29" s="388"/>
      <c r="LKD29" s="388"/>
      <c r="LKE29" s="388"/>
      <c r="LKF29" s="388"/>
      <c r="LKG29" s="388"/>
      <c r="LKH29" s="388"/>
      <c r="LKI29" s="388"/>
      <c r="LKJ29" s="388"/>
      <c r="LKK29" s="388"/>
      <c r="LKL29" s="388"/>
      <c r="LKM29" s="388"/>
      <c r="LKN29" s="388"/>
      <c r="LKO29" s="388"/>
      <c r="LKP29" s="388"/>
      <c r="LKQ29" s="388"/>
      <c r="LKR29" s="388"/>
      <c r="LKS29" s="388"/>
      <c r="LKT29" s="388"/>
      <c r="LKU29" s="388"/>
      <c r="LKV29" s="388"/>
      <c r="LKW29" s="388"/>
      <c r="LKX29" s="388"/>
      <c r="LKY29" s="388"/>
      <c r="LKZ29" s="388"/>
      <c r="LLA29" s="388"/>
      <c r="LLB29" s="388"/>
      <c r="LLC29" s="388"/>
      <c r="LLD29" s="388"/>
      <c r="LLE29" s="388"/>
      <c r="LLF29" s="388"/>
      <c r="LLG29" s="388"/>
      <c r="LLH29" s="388"/>
      <c r="LLI29" s="388"/>
      <c r="LLJ29" s="388"/>
      <c r="LLK29" s="388"/>
      <c r="LLL29" s="388"/>
      <c r="LLM29" s="388"/>
      <c r="LLN29" s="388"/>
      <c r="LLO29" s="388"/>
      <c r="LLP29" s="388"/>
      <c r="LLQ29" s="388"/>
      <c r="LLR29" s="388"/>
      <c r="LLS29" s="388"/>
      <c r="LLT29" s="388"/>
      <c r="LLU29" s="388"/>
      <c r="LLV29" s="388"/>
      <c r="LLW29" s="388"/>
      <c r="LLX29" s="388"/>
      <c r="LLY29" s="388"/>
      <c r="LLZ29" s="388"/>
      <c r="LMA29" s="388"/>
      <c r="LMB29" s="388"/>
      <c r="LMC29" s="388"/>
      <c r="LMD29" s="388"/>
      <c r="LME29" s="388"/>
      <c r="LMF29" s="388"/>
      <c r="LMG29" s="388"/>
      <c r="LMH29" s="388"/>
      <c r="LMI29" s="388"/>
      <c r="LMJ29" s="388"/>
      <c r="LMK29" s="388"/>
      <c r="LML29" s="388"/>
      <c r="LMM29" s="388"/>
      <c r="LMN29" s="388"/>
      <c r="LMO29" s="388"/>
      <c r="LMP29" s="388"/>
      <c r="LMQ29" s="388"/>
      <c r="LMR29" s="388"/>
      <c r="LMS29" s="388"/>
      <c r="LMT29" s="388"/>
      <c r="LMU29" s="388"/>
      <c r="LMV29" s="388"/>
      <c r="LMW29" s="388"/>
      <c r="LMX29" s="388"/>
      <c r="LMY29" s="388"/>
      <c r="LMZ29" s="388"/>
      <c r="LNA29" s="388"/>
      <c r="LNB29" s="388"/>
      <c r="LNC29" s="388"/>
      <c r="LND29" s="388"/>
      <c r="LNE29" s="388"/>
      <c r="LNF29" s="388"/>
      <c r="LNG29" s="388"/>
      <c r="LNH29" s="388"/>
      <c r="LNI29" s="388"/>
      <c r="LNJ29" s="388"/>
      <c r="LNK29" s="388"/>
      <c r="LNL29" s="388"/>
      <c r="LNM29" s="388"/>
      <c r="LNN29" s="388"/>
      <c r="LNO29" s="388"/>
      <c r="LNP29" s="388"/>
      <c r="LNQ29" s="388"/>
      <c r="LNR29" s="388"/>
      <c r="LNS29" s="388"/>
      <c r="LNT29" s="388"/>
      <c r="LNU29" s="388"/>
      <c r="LNV29" s="388"/>
      <c r="LNW29" s="388"/>
      <c r="LNX29" s="388"/>
      <c r="LNY29" s="388"/>
      <c r="LNZ29" s="388"/>
      <c r="LOA29" s="388"/>
      <c r="LOB29" s="388"/>
      <c r="LOC29" s="388"/>
      <c r="LOD29" s="388"/>
      <c r="LOE29" s="388"/>
      <c r="LOF29" s="388"/>
      <c r="LOG29" s="388"/>
      <c r="LOH29" s="388"/>
      <c r="LOI29" s="388"/>
      <c r="LOJ29" s="388"/>
      <c r="LOK29" s="388"/>
      <c r="LOL29" s="388"/>
      <c r="LOM29" s="388"/>
      <c r="LON29" s="388"/>
      <c r="LOO29" s="388"/>
      <c r="LOP29" s="388"/>
      <c r="LOQ29" s="388"/>
      <c r="LOR29" s="388"/>
      <c r="LOS29" s="388"/>
      <c r="LOT29" s="388"/>
      <c r="LOU29" s="388"/>
      <c r="LOV29" s="388"/>
      <c r="LOW29" s="388"/>
      <c r="LOX29" s="388"/>
      <c r="LOY29" s="388"/>
      <c r="LOZ29" s="388"/>
      <c r="LPA29" s="388"/>
      <c r="LPB29" s="388"/>
      <c r="LPC29" s="388"/>
      <c r="LPD29" s="388"/>
      <c r="LPE29" s="388"/>
      <c r="LPF29" s="388"/>
      <c r="LPG29" s="388"/>
      <c r="LPH29" s="388"/>
      <c r="LPI29" s="388"/>
      <c r="LPJ29" s="388"/>
      <c r="LPK29" s="388"/>
      <c r="LPL29" s="388"/>
      <c r="LPM29" s="388"/>
      <c r="LPN29" s="388"/>
      <c r="LPO29" s="388"/>
      <c r="LPP29" s="388"/>
      <c r="LPQ29" s="388"/>
      <c r="LPR29" s="388"/>
      <c r="LPS29" s="388"/>
      <c r="LPT29" s="388"/>
      <c r="LPU29" s="388"/>
      <c r="LPV29" s="388"/>
      <c r="LPW29" s="388"/>
      <c r="LPX29" s="388"/>
      <c r="LPY29" s="388"/>
      <c r="LPZ29" s="388"/>
      <c r="LQA29" s="388"/>
      <c r="LQB29" s="388"/>
      <c r="LQC29" s="388"/>
      <c r="LQD29" s="388"/>
      <c r="LQE29" s="388"/>
      <c r="LQF29" s="388"/>
      <c r="LQG29" s="388"/>
      <c r="LQH29" s="388"/>
      <c r="LQI29" s="388"/>
      <c r="LQJ29" s="388"/>
      <c r="LQK29" s="388"/>
      <c r="LQL29" s="388"/>
      <c r="LQM29" s="388"/>
      <c r="LQN29" s="388"/>
      <c r="LQO29" s="388"/>
      <c r="LQP29" s="388"/>
      <c r="LQQ29" s="388"/>
      <c r="LQR29" s="388"/>
      <c r="LQS29" s="388"/>
      <c r="LQT29" s="388"/>
      <c r="LQU29" s="388"/>
      <c r="LQV29" s="388"/>
      <c r="LQW29" s="388"/>
      <c r="LQX29" s="388"/>
      <c r="LQY29" s="388"/>
      <c r="LQZ29" s="388"/>
      <c r="LRA29" s="388"/>
      <c r="LRB29" s="388"/>
      <c r="LRC29" s="388"/>
      <c r="LRD29" s="388"/>
      <c r="LRE29" s="388"/>
      <c r="LRF29" s="388"/>
      <c r="LRG29" s="388"/>
      <c r="LRH29" s="388"/>
      <c r="LRI29" s="388"/>
      <c r="LRJ29" s="388"/>
      <c r="LRK29" s="388"/>
      <c r="LRL29" s="388"/>
      <c r="LRM29" s="388"/>
      <c r="LRN29" s="388"/>
      <c r="LRO29" s="388"/>
      <c r="LRP29" s="388"/>
      <c r="LRQ29" s="388"/>
      <c r="LRR29" s="388"/>
      <c r="LRS29" s="388"/>
      <c r="LRT29" s="388"/>
      <c r="LRU29" s="388"/>
      <c r="LRV29" s="388"/>
      <c r="LRW29" s="388"/>
      <c r="LRX29" s="388"/>
      <c r="LRY29" s="388"/>
      <c r="LRZ29" s="388"/>
      <c r="LSA29" s="388"/>
      <c r="LSB29" s="388"/>
      <c r="LSC29" s="388"/>
      <c r="LSD29" s="388"/>
      <c r="LSE29" s="388"/>
      <c r="LSF29" s="388"/>
      <c r="LSG29" s="388"/>
      <c r="LSH29" s="388"/>
      <c r="LSI29" s="388"/>
      <c r="LSJ29" s="388"/>
      <c r="LSK29" s="388"/>
      <c r="LSL29" s="388"/>
      <c r="LSM29" s="388"/>
      <c r="LSN29" s="388"/>
      <c r="LSO29" s="388"/>
      <c r="LSP29" s="388"/>
      <c r="LSQ29" s="388"/>
      <c r="LSR29" s="388"/>
      <c r="LSS29" s="388"/>
      <c r="LST29" s="388"/>
      <c r="LSU29" s="388"/>
      <c r="LSV29" s="388"/>
      <c r="LSW29" s="388"/>
      <c r="LSX29" s="388"/>
      <c r="LSY29" s="388"/>
      <c r="LSZ29" s="388"/>
      <c r="LTA29" s="388"/>
      <c r="LTB29" s="388"/>
      <c r="LTC29" s="388"/>
      <c r="LTD29" s="388"/>
      <c r="LTE29" s="388"/>
      <c r="LTF29" s="388"/>
      <c r="LTG29" s="388"/>
      <c r="LTH29" s="388"/>
      <c r="LTI29" s="388"/>
      <c r="LTJ29" s="388"/>
      <c r="LTK29" s="388"/>
      <c r="LTL29" s="388"/>
      <c r="LTM29" s="388"/>
      <c r="LTN29" s="388"/>
      <c r="LTO29" s="388"/>
      <c r="LTP29" s="388"/>
      <c r="LTQ29" s="388"/>
      <c r="LTR29" s="388"/>
      <c r="LTS29" s="388"/>
      <c r="LTT29" s="388"/>
      <c r="LTU29" s="388"/>
      <c r="LTV29" s="388"/>
      <c r="LTW29" s="388"/>
      <c r="LTX29" s="388"/>
      <c r="LTY29" s="388"/>
      <c r="LTZ29" s="388"/>
      <c r="LUA29" s="388"/>
      <c r="LUB29" s="388"/>
      <c r="LUC29" s="388"/>
      <c r="LUD29" s="388"/>
      <c r="LUE29" s="388"/>
      <c r="LUF29" s="388"/>
      <c r="LUG29" s="388"/>
      <c r="LUH29" s="388"/>
      <c r="LUI29" s="388"/>
      <c r="LUJ29" s="388"/>
      <c r="LUK29" s="388"/>
      <c r="LUL29" s="388"/>
      <c r="LUM29" s="388"/>
      <c r="LUN29" s="388"/>
      <c r="LUO29" s="388"/>
      <c r="LUP29" s="388"/>
      <c r="LUQ29" s="388"/>
      <c r="LUR29" s="388"/>
      <c r="LUS29" s="388"/>
      <c r="LUT29" s="388"/>
      <c r="LUU29" s="388"/>
      <c r="LUV29" s="388"/>
      <c r="LUW29" s="388"/>
      <c r="LUX29" s="388"/>
      <c r="LUY29" s="388"/>
      <c r="LUZ29" s="388"/>
      <c r="LVA29" s="388"/>
      <c r="LVB29" s="388"/>
      <c r="LVC29" s="388"/>
      <c r="LVD29" s="388"/>
      <c r="LVE29" s="388"/>
      <c r="LVF29" s="388"/>
      <c r="LVG29" s="388"/>
      <c r="LVH29" s="388"/>
      <c r="LVI29" s="388"/>
      <c r="LVJ29" s="388"/>
      <c r="LVK29" s="388"/>
      <c r="LVL29" s="388"/>
      <c r="LVM29" s="388"/>
      <c r="LVN29" s="388"/>
      <c r="LVO29" s="388"/>
      <c r="LVP29" s="388"/>
      <c r="LVQ29" s="388"/>
      <c r="LVR29" s="388"/>
      <c r="LVS29" s="388"/>
      <c r="LVT29" s="388"/>
      <c r="LVU29" s="388"/>
      <c r="LVV29" s="388"/>
      <c r="LVW29" s="388"/>
      <c r="LVX29" s="388"/>
      <c r="LVY29" s="388"/>
      <c r="LVZ29" s="388"/>
      <c r="LWA29" s="388"/>
      <c r="LWB29" s="388"/>
      <c r="LWC29" s="388"/>
      <c r="LWD29" s="388"/>
      <c r="LWE29" s="388"/>
      <c r="LWF29" s="388"/>
      <c r="LWG29" s="388"/>
      <c r="LWH29" s="388"/>
      <c r="LWI29" s="388"/>
      <c r="LWJ29" s="388"/>
      <c r="LWK29" s="388"/>
      <c r="LWL29" s="388"/>
      <c r="LWM29" s="388"/>
      <c r="LWN29" s="388"/>
      <c r="LWO29" s="388"/>
      <c r="LWP29" s="388"/>
      <c r="LWQ29" s="388"/>
      <c r="LWR29" s="388"/>
      <c r="LWS29" s="388"/>
      <c r="LWT29" s="388"/>
      <c r="LWU29" s="388"/>
      <c r="LWV29" s="388"/>
      <c r="LWW29" s="388"/>
      <c r="LWX29" s="388"/>
      <c r="LWY29" s="388"/>
      <c r="LWZ29" s="388"/>
      <c r="LXA29" s="388"/>
      <c r="LXB29" s="388"/>
      <c r="LXC29" s="388"/>
      <c r="LXD29" s="388"/>
      <c r="LXE29" s="388"/>
      <c r="LXF29" s="388"/>
      <c r="LXG29" s="388"/>
      <c r="LXH29" s="388"/>
      <c r="LXI29" s="388"/>
      <c r="LXJ29" s="388"/>
      <c r="LXK29" s="388"/>
      <c r="LXL29" s="388"/>
      <c r="LXM29" s="388"/>
      <c r="LXN29" s="388"/>
      <c r="LXO29" s="388"/>
      <c r="LXP29" s="388"/>
      <c r="LXQ29" s="388"/>
      <c r="LXR29" s="388"/>
      <c r="LXS29" s="388"/>
      <c r="LXT29" s="388"/>
      <c r="LXU29" s="388"/>
      <c r="LXV29" s="388"/>
      <c r="LXW29" s="388"/>
      <c r="LXX29" s="388"/>
      <c r="LXY29" s="388"/>
      <c r="LXZ29" s="388"/>
      <c r="LYA29" s="388"/>
      <c r="LYB29" s="388"/>
      <c r="LYC29" s="388"/>
      <c r="LYD29" s="388"/>
      <c r="LYE29" s="388"/>
      <c r="LYF29" s="388"/>
      <c r="LYG29" s="388"/>
      <c r="LYH29" s="388"/>
      <c r="LYI29" s="388"/>
      <c r="LYJ29" s="388"/>
      <c r="LYK29" s="388"/>
      <c r="LYL29" s="388"/>
      <c r="LYM29" s="388"/>
      <c r="LYN29" s="388"/>
      <c r="LYO29" s="388"/>
      <c r="LYP29" s="388"/>
      <c r="LYQ29" s="388"/>
      <c r="LYR29" s="388"/>
      <c r="LYS29" s="388"/>
      <c r="LYT29" s="388"/>
      <c r="LYU29" s="388"/>
      <c r="LYV29" s="388"/>
      <c r="LYW29" s="388"/>
      <c r="LYX29" s="388"/>
      <c r="LYY29" s="388"/>
      <c r="LYZ29" s="388"/>
      <c r="LZA29" s="388"/>
      <c r="LZB29" s="388"/>
      <c r="LZC29" s="388"/>
      <c r="LZD29" s="388"/>
      <c r="LZE29" s="388"/>
      <c r="LZF29" s="388"/>
      <c r="LZG29" s="388"/>
      <c r="LZH29" s="388"/>
      <c r="LZI29" s="388"/>
      <c r="LZJ29" s="388"/>
      <c r="LZK29" s="388"/>
      <c r="LZL29" s="388"/>
      <c r="LZM29" s="388"/>
      <c r="LZN29" s="388"/>
      <c r="LZO29" s="388"/>
      <c r="LZP29" s="388"/>
      <c r="LZQ29" s="388"/>
      <c r="LZR29" s="388"/>
      <c r="LZS29" s="388"/>
      <c r="LZT29" s="388"/>
      <c r="LZU29" s="388"/>
      <c r="LZV29" s="388"/>
      <c r="LZW29" s="388"/>
      <c r="LZX29" s="388"/>
      <c r="LZY29" s="388"/>
      <c r="LZZ29" s="388"/>
      <c r="MAA29" s="388"/>
      <c r="MAB29" s="388"/>
      <c r="MAC29" s="388"/>
      <c r="MAD29" s="388"/>
      <c r="MAE29" s="388"/>
      <c r="MAF29" s="388"/>
      <c r="MAG29" s="388"/>
      <c r="MAH29" s="388"/>
      <c r="MAI29" s="388"/>
      <c r="MAJ29" s="388"/>
      <c r="MAK29" s="388"/>
      <c r="MAL29" s="388"/>
      <c r="MAM29" s="388"/>
      <c r="MAN29" s="388"/>
      <c r="MAO29" s="388"/>
      <c r="MAP29" s="388"/>
      <c r="MAQ29" s="388"/>
      <c r="MAR29" s="388"/>
      <c r="MAS29" s="388"/>
      <c r="MAT29" s="388"/>
      <c r="MAU29" s="388"/>
      <c r="MAV29" s="388"/>
      <c r="MAW29" s="388"/>
      <c r="MAX29" s="388"/>
      <c r="MAY29" s="388"/>
      <c r="MAZ29" s="388"/>
      <c r="MBA29" s="388"/>
      <c r="MBB29" s="388"/>
      <c r="MBC29" s="388"/>
      <c r="MBD29" s="388"/>
      <c r="MBE29" s="388"/>
      <c r="MBF29" s="388"/>
      <c r="MBG29" s="388"/>
      <c r="MBH29" s="388"/>
      <c r="MBI29" s="388"/>
      <c r="MBJ29" s="388"/>
      <c r="MBK29" s="388"/>
      <c r="MBL29" s="388"/>
      <c r="MBM29" s="388"/>
      <c r="MBN29" s="388"/>
      <c r="MBO29" s="388"/>
      <c r="MBP29" s="388"/>
      <c r="MBQ29" s="388"/>
      <c r="MBR29" s="388"/>
      <c r="MBS29" s="388"/>
      <c r="MBT29" s="388"/>
      <c r="MBU29" s="388"/>
      <c r="MBV29" s="388"/>
      <c r="MBW29" s="388"/>
      <c r="MBX29" s="388"/>
      <c r="MBY29" s="388"/>
      <c r="MBZ29" s="388"/>
      <c r="MCA29" s="388"/>
      <c r="MCB29" s="388"/>
      <c r="MCC29" s="388"/>
      <c r="MCD29" s="388"/>
      <c r="MCE29" s="388"/>
      <c r="MCF29" s="388"/>
      <c r="MCG29" s="388"/>
      <c r="MCH29" s="388"/>
      <c r="MCI29" s="388"/>
      <c r="MCJ29" s="388"/>
      <c r="MCK29" s="388"/>
      <c r="MCL29" s="388"/>
      <c r="MCM29" s="388"/>
      <c r="MCN29" s="388"/>
      <c r="MCO29" s="388"/>
      <c r="MCP29" s="388"/>
      <c r="MCQ29" s="388"/>
      <c r="MCR29" s="388"/>
      <c r="MCS29" s="388"/>
      <c r="MCT29" s="388"/>
      <c r="MCU29" s="388"/>
      <c r="MCV29" s="388"/>
      <c r="MCW29" s="388"/>
      <c r="MCX29" s="388"/>
      <c r="MCY29" s="388"/>
      <c r="MCZ29" s="388"/>
      <c r="MDA29" s="388"/>
      <c r="MDB29" s="388"/>
      <c r="MDC29" s="388"/>
      <c r="MDD29" s="388"/>
      <c r="MDE29" s="388"/>
      <c r="MDF29" s="388"/>
      <c r="MDG29" s="388"/>
      <c r="MDH29" s="388"/>
      <c r="MDI29" s="388"/>
      <c r="MDJ29" s="388"/>
      <c r="MDK29" s="388"/>
      <c r="MDL29" s="388"/>
      <c r="MDM29" s="388"/>
      <c r="MDN29" s="388"/>
      <c r="MDO29" s="388"/>
      <c r="MDP29" s="388"/>
      <c r="MDQ29" s="388"/>
      <c r="MDR29" s="388"/>
      <c r="MDS29" s="388"/>
      <c r="MDT29" s="388"/>
      <c r="MDU29" s="388"/>
      <c r="MDV29" s="388"/>
      <c r="MDW29" s="388"/>
      <c r="MDX29" s="388"/>
      <c r="MDY29" s="388"/>
      <c r="MDZ29" s="388"/>
      <c r="MEA29" s="388"/>
      <c r="MEB29" s="388"/>
      <c r="MEC29" s="388"/>
      <c r="MED29" s="388"/>
      <c r="MEE29" s="388"/>
      <c r="MEF29" s="388"/>
      <c r="MEG29" s="388"/>
      <c r="MEH29" s="388"/>
      <c r="MEI29" s="388"/>
      <c r="MEJ29" s="388"/>
      <c r="MEK29" s="388"/>
      <c r="MEL29" s="388"/>
      <c r="MEM29" s="388"/>
      <c r="MEN29" s="388"/>
      <c r="MEO29" s="388"/>
      <c r="MEP29" s="388"/>
      <c r="MEQ29" s="388"/>
      <c r="MER29" s="388"/>
      <c r="MES29" s="388"/>
      <c r="MET29" s="388"/>
      <c r="MEU29" s="388"/>
      <c r="MEV29" s="388"/>
      <c r="MEW29" s="388"/>
      <c r="MEX29" s="388"/>
      <c r="MEY29" s="388"/>
      <c r="MEZ29" s="388"/>
      <c r="MFA29" s="388"/>
      <c r="MFB29" s="388"/>
      <c r="MFC29" s="388"/>
      <c r="MFD29" s="388"/>
      <c r="MFE29" s="388"/>
      <c r="MFF29" s="388"/>
      <c r="MFG29" s="388"/>
      <c r="MFH29" s="388"/>
      <c r="MFI29" s="388"/>
      <c r="MFJ29" s="388"/>
      <c r="MFK29" s="388"/>
      <c r="MFL29" s="388"/>
      <c r="MFM29" s="388"/>
      <c r="MFN29" s="388"/>
      <c r="MFO29" s="388"/>
      <c r="MFP29" s="388"/>
      <c r="MFQ29" s="388"/>
      <c r="MFR29" s="388"/>
      <c r="MFS29" s="388"/>
      <c r="MFT29" s="388"/>
      <c r="MFU29" s="388"/>
      <c r="MFV29" s="388"/>
      <c r="MFW29" s="388"/>
      <c r="MFX29" s="388"/>
      <c r="MFY29" s="388"/>
      <c r="MFZ29" s="388"/>
      <c r="MGA29" s="388"/>
      <c r="MGB29" s="388"/>
      <c r="MGC29" s="388"/>
      <c r="MGD29" s="388"/>
      <c r="MGE29" s="388"/>
      <c r="MGF29" s="388"/>
      <c r="MGG29" s="388"/>
      <c r="MGH29" s="388"/>
      <c r="MGI29" s="388"/>
      <c r="MGJ29" s="388"/>
      <c r="MGK29" s="388"/>
      <c r="MGL29" s="388"/>
      <c r="MGM29" s="388"/>
      <c r="MGN29" s="388"/>
      <c r="MGO29" s="388"/>
      <c r="MGP29" s="388"/>
      <c r="MGQ29" s="388"/>
      <c r="MGR29" s="388"/>
      <c r="MGS29" s="388"/>
      <c r="MGT29" s="388"/>
      <c r="MGU29" s="388"/>
      <c r="MGV29" s="388"/>
      <c r="MGW29" s="388"/>
      <c r="MGX29" s="388"/>
      <c r="MGY29" s="388"/>
      <c r="MGZ29" s="388"/>
      <c r="MHA29" s="388"/>
      <c r="MHB29" s="388"/>
      <c r="MHC29" s="388"/>
      <c r="MHD29" s="388"/>
      <c r="MHE29" s="388"/>
      <c r="MHF29" s="388"/>
      <c r="MHG29" s="388"/>
      <c r="MHH29" s="388"/>
      <c r="MHI29" s="388"/>
      <c r="MHJ29" s="388"/>
      <c r="MHK29" s="388"/>
      <c r="MHL29" s="388"/>
      <c r="MHM29" s="388"/>
      <c r="MHN29" s="388"/>
      <c r="MHO29" s="388"/>
      <c r="MHP29" s="388"/>
      <c r="MHQ29" s="388"/>
      <c r="MHR29" s="388"/>
      <c r="MHS29" s="388"/>
      <c r="MHT29" s="388"/>
      <c r="MHU29" s="388"/>
      <c r="MHV29" s="388"/>
      <c r="MHW29" s="388"/>
      <c r="MHX29" s="388"/>
      <c r="MHY29" s="388"/>
      <c r="MHZ29" s="388"/>
      <c r="MIA29" s="388"/>
      <c r="MIB29" s="388"/>
      <c r="MIC29" s="388"/>
      <c r="MID29" s="388"/>
      <c r="MIE29" s="388"/>
      <c r="MIF29" s="388"/>
      <c r="MIG29" s="388"/>
      <c r="MIH29" s="388"/>
      <c r="MII29" s="388"/>
      <c r="MIJ29" s="388"/>
      <c r="MIK29" s="388"/>
      <c r="MIL29" s="388"/>
      <c r="MIM29" s="388"/>
      <c r="MIN29" s="388"/>
      <c r="MIO29" s="388"/>
      <c r="MIP29" s="388"/>
      <c r="MIQ29" s="388"/>
      <c r="MIR29" s="388"/>
      <c r="MIS29" s="388"/>
      <c r="MIT29" s="388"/>
      <c r="MIU29" s="388"/>
      <c r="MIV29" s="388"/>
      <c r="MIW29" s="388"/>
      <c r="MIX29" s="388"/>
      <c r="MIY29" s="388"/>
      <c r="MIZ29" s="388"/>
      <c r="MJA29" s="388"/>
      <c r="MJB29" s="388"/>
      <c r="MJC29" s="388"/>
      <c r="MJD29" s="388"/>
      <c r="MJE29" s="388"/>
      <c r="MJF29" s="388"/>
      <c r="MJG29" s="388"/>
      <c r="MJH29" s="388"/>
      <c r="MJI29" s="388"/>
      <c r="MJJ29" s="388"/>
      <c r="MJK29" s="388"/>
      <c r="MJL29" s="388"/>
      <c r="MJM29" s="388"/>
      <c r="MJN29" s="388"/>
      <c r="MJO29" s="388"/>
      <c r="MJP29" s="388"/>
      <c r="MJQ29" s="388"/>
      <c r="MJR29" s="388"/>
      <c r="MJS29" s="388"/>
      <c r="MJT29" s="388"/>
      <c r="MJU29" s="388"/>
      <c r="MJV29" s="388"/>
      <c r="MJW29" s="388"/>
      <c r="MJX29" s="388"/>
      <c r="MJY29" s="388"/>
      <c r="MJZ29" s="388"/>
      <c r="MKA29" s="388"/>
      <c r="MKB29" s="388"/>
      <c r="MKC29" s="388"/>
      <c r="MKD29" s="388"/>
      <c r="MKE29" s="388"/>
      <c r="MKF29" s="388"/>
      <c r="MKG29" s="388"/>
      <c r="MKH29" s="388"/>
      <c r="MKI29" s="388"/>
      <c r="MKJ29" s="388"/>
      <c r="MKK29" s="388"/>
      <c r="MKL29" s="388"/>
      <c r="MKM29" s="388"/>
      <c r="MKN29" s="388"/>
      <c r="MKO29" s="388"/>
      <c r="MKP29" s="388"/>
      <c r="MKQ29" s="388"/>
      <c r="MKR29" s="388"/>
      <c r="MKS29" s="388"/>
      <c r="MKT29" s="388"/>
      <c r="MKU29" s="388"/>
      <c r="MKV29" s="388"/>
      <c r="MKW29" s="388"/>
      <c r="MKX29" s="388"/>
      <c r="MKY29" s="388"/>
      <c r="MKZ29" s="388"/>
      <c r="MLA29" s="388"/>
      <c r="MLB29" s="388"/>
      <c r="MLC29" s="388"/>
      <c r="MLD29" s="388"/>
      <c r="MLE29" s="388"/>
      <c r="MLF29" s="388"/>
      <c r="MLG29" s="388"/>
      <c r="MLH29" s="388"/>
      <c r="MLI29" s="388"/>
      <c r="MLJ29" s="388"/>
      <c r="MLK29" s="388"/>
      <c r="MLL29" s="388"/>
      <c r="MLM29" s="388"/>
      <c r="MLN29" s="388"/>
      <c r="MLO29" s="388"/>
      <c r="MLP29" s="388"/>
      <c r="MLQ29" s="388"/>
      <c r="MLR29" s="388"/>
      <c r="MLS29" s="388"/>
      <c r="MLT29" s="388"/>
      <c r="MLU29" s="388"/>
      <c r="MLV29" s="388"/>
      <c r="MLW29" s="388"/>
      <c r="MLX29" s="388"/>
      <c r="MLY29" s="388"/>
      <c r="MLZ29" s="388"/>
      <c r="MMA29" s="388"/>
      <c r="MMB29" s="388"/>
      <c r="MMC29" s="388"/>
      <c r="MMD29" s="388"/>
      <c r="MME29" s="388"/>
      <c r="MMF29" s="388"/>
      <c r="MMG29" s="388"/>
      <c r="MMH29" s="388"/>
      <c r="MMI29" s="388"/>
      <c r="MMJ29" s="388"/>
      <c r="MMK29" s="388"/>
      <c r="MML29" s="388"/>
      <c r="MMM29" s="388"/>
      <c r="MMN29" s="388"/>
      <c r="MMO29" s="388"/>
      <c r="MMP29" s="388"/>
      <c r="MMQ29" s="388"/>
      <c r="MMR29" s="388"/>
      <c r="MMS29" s="388"/>
      <c r="MMT29" s="388"/>
      <c r="MMU29" s="388"/>
      <c r="MMV29" s="388"/>
      <c r="MMW29" s="388"/>
      <c r="MMX29" s="388"/>
      <c r="MMY29" s="388"/>
      <c r="MMZ29" s="388"/>
      <c r="MNA29" s="388"/>
      <c r="MNB29" s="388"/>
      <c r="MNC29" s="388"/>
      <c r="MND29" s="388"/>
      <c r="MNE29" s="388"/>
      <c r="MNF29" s="388"/>
      <c r="MNG29" s="388"/>
      <c r="MNH29" s="388"/>
      <c r="MNI29" s="388"/>
      <c r="MNJ29" s="388"/>
      <c r="MNK29" s="388"/>
      <c r="MNL29" s="388"/>
      <c r="MNM29" s="388"/>
      <c r="MNN29" s="388"/>
      <c r="MNO29" s="388"/>
      <c r="MNP29" s="388"/>
      <c r="MNQ29" s="388"/>
      <c r="MNR29" s="388"/>
      <c r="MNS29" s="388"/>
      <c r="MNT29" s="388"/>
      <c r="MNU29" s="388"/>
      <c r="MNV29" s="388"/>
      <c r="MNW29" s="388"/>
      <c r="MNX29" s="388"/>
      <c r="MNY29" s="388"/>
      <c r="MNZ29" s="388"/>
      <c r="MOA29" s="388"/>
      <c r="MOB29" s="388"/>
      <c r="MOC29" s="388"/>
      <c r="MOD29" s="388"/>
      <c r="MOE29" s="388"/>
      <c r="MOF29" s="388"/>
      <c r="MOG29" s="388"/>
      <c r="MOH29" s="388"/>
      <c r="MOI29" s="388"/>
      <c r="MOJ29" s="388"/>
      <c r="MOK29" s="388"/>
      <c r="MOL29" s="388"/>
      <c r="MOM29" s="388"/>
      <c r="MON29" s="388"/>
      <c r="MOO29" s="388"/>
      <c r="MOP29" s="388"/>
      <c r="MOQ29" s="388"/>
      <c r="MOR29" s="388"/>
      <c r="MOS29" s="388"/>
      <c r="MOT29" s="388"/>
      <c r="MOU29" s="388"/>
      <c r="MOV29" s="388"/>
      <c r="MOW29" s="388"/>
      <c r="MOX29" s="388"/>
      <c r="MOY29" s="388"/>
      <c r="MOZ29" s="388"/>
      <c r="MPA29" s="388"/>
      <c r="MPB29" s="388"/>
      <c r="MPC29" s="388"/>
      <c r="MPD29" s="388"/>
      <c r="MPE29" s="388"/>
      <c r="MPF29" s="388"/>
      <c r="MPG29" s="388"/>
      <c r="MPH29" s="388"/>
      <c r="MPI29" s="388"/>
      <c r="MPJ29" s="388"/>
      <c r="MPK29" s="388"/>
      <c r="MPL29" s="388"/>
      <c r="MPM29" s="388"/>
      <c r="MPN29" s="388"/>
      <c r="MPO29" s="388"/>
      <c r="MPP29" s="388"/>
      <c r="MPQ29" s="388"/>
      <c r="MPR29" s="388"/>
      <c r="MPS29" s="388"/>
      <c r="MPT29" s="388"/>
      <c r="MPU29" s="388"/>
      <c r="MPV29" s="388"/>
      <c r="MPW29" s="388"/>
      <c r="MPX29" s="388"/>
      <c r="MPY29" s="388"/>
      <c r="MPZ29" s="388"/>
      <c r="MQA29" s="388"/>
      <c r="MQB29" s="388"/>
      <c r="MQC29" s="388"/>
      <c r="MQD29" s="388"/>
      <c r="MQE29" s="388"/>
      <c r="MQF29" s="388"/>
      <c r="MQG29" s="388"/>
      <c r="MQH29" s="388"/>
      <c r="MQI29" s="388"/>
      <c r="MQJ29" s="388"/>
      <c r="MQK29" s="388"/>
      <c r="MQL29" s="388"/>
      <c r="MQM29" s="388"/>
      <c r="MQN29" s="388"/>
      <c r="MQO29" s="388"/>
      <c r="MQP29" s="388"/>
      <c r="MQQ29" s="388"/>
      <c r="MQR29" s="388"/>
      <c r="MQS29" s="388"/>
      <c r="MQT29" s="388"/>
      <c r="MQU29" s="388"/>
      <c r="MQV29" s="388"/>
      <c r="MQW29" s="388"/>
      <c r="MQX29" s="388"/>
      <c r="MQY29" s="388"/>
      <c r="MQZ29" s="388"/>
      <c r="MRA29" s="388"/>
      <c r="MRB29" s="388"/>
      <c r="MRC29" s="388"/>
      <c r="MRD29" s="388"/>
      <c r="MRE29" s="388"/>
      <c r="MRF29" s="388"/>
      <c r="MRG29" s="388"/>
      <c r="MRH29" s="388"/>
      <c r="MRI29" s="388"/>
      <c r="MRJ29" s="388"/>
      <c r="MRK29" s="388"/>
      <c r="MRL29" s="388"/>
      <c r="MRM29" s="388"/>
      <c r="MRN29" s="388"/>
      <c r="MRO29" s="388"/>
      <c r="MRP29" s="388"/>
      <c r="MRQ29" s="388"/>
      <c r="MRR29" s="388"/>
      <c r="MRS29" s="388"/>
      <c r="MRT29" s="388"/>
      <c r="MRU29" s="388"/>
      <c r="MRV29" s="388"/>
      <c r="MRW29" s="388"/>
      <c r="MRX29" s="388"/>
      <c r="MRY29" s="388"/>
      <c r="MRZ29" s="388"/>
      <c r="MSA29" s="388"/>
      <c r="MSB29" s="388"/>
      <c r="MSC29" s="388"/>
      <c r="MSD29" s="388"/>
      <c r="MSE29" s="388"/>
      <c r="MSF29" s="388"/>
      <c r="MSG29" s="388"/>
      <c r="MSH29" s="388"/>
      <c r="MSI29" s="388"/>
      <c r="MSJ29" s="388"/>
      <c r="MSK29" s="388"/>
      <c r="MSL29" s="388"/>
      <c r="MSM29" s="388"/>
      <c r="MSN29" s="388"/>
      <c r="MSO29" s="388"/>
      <c r="MSP29" s="388"/>
      <c r="MSQ29" s="388"/>
      <c r="MSR29" s="388"/>
      <c r="MSS29" s="388"/>
      <c r="MST29" s="388"/>
      <c r="MSU29" s="388"/>
      <c r="MSV29" s="388"/>
      <c r="MSW29" s="388"/>
      <c r="MSX29" s="388"/>
      <c r="MSY29" s="388"/>
      <c r="MSZ29" s="388"/>
      <c r="MTA29" s="388"/>
      <c r="MTB29" s="388"/>
      <c r="MTC29" s="388"/>
      <c r="MTD29" s="388"/>
      <c r="MTE29" s="388"/>
      <c r="MTF29" s="388"/>
      <c r="MTG29" s="388"/>
      <c r="MTH29" s="388"/>
      <c r="MTI29" s="388"/>
      <c r="MTJ29" s="388"/>
      <c r="MTK29" s="388"/>
      <c r="MTL29" s="388"/>
      <c r="MTM29" s="388"/>
      <c r="MTN29" s="388"/>
      <c r="MTO29" s="388"/>
      <c r="MTP29" s="388"/>
      <c r="MTQ29" s="388"/>
      <c r="MTR29" s="388"/>
      <c r="MTS29" s="388"/>
      <c r="MTT29" s="388"/>
      <c r="MTU29" s="388"/>
      <c r="MTV29" s="388"/>
      <c r="MTW29" s="388"/>
      <c r="MTX29" s="388"/>
      <c r="MTY29" s="388"/>
      <c r="MTZ29" s="388"/>
      <c r="MUA29" s="388"/>
      <c r="MUB29" s="388"/>
      <c r="MUC29" s="388"/>
      <c r="MUD29" s="388"/>
      <c r="MUE29" s="388"/>
      <c r="MUF29" s="388"/>
      <c r="MUG29" s="388"/>
      <c r="MUH29" s="388"/>
      <c r="MUI29" s="388"/>
      <c r="MUJ29" s="388"/>
      <c r="MUK29" s="388"/>
      <c r="MUL29" s="388"/>
      <c r="MUM29" s="388"/>
      <c r="MUN29" s="388"/>
      <c r="MUO29" s="388"/>
      <c r="MUP29" s="388"/>
      <c r="MUQ29" s="388"/>
      <c r="MUR29" s="388"/>
      <c r="MUS29" s="388"/>
      <c r="MUT29" s="388"/>
      <c r="MUU29" s="388"/>
      <c r="MUV29" s="388"/>
      <c r="MUW29" s="388"/>
      <c r="MUX29" s="388"/>
      <c r="MUY29" s="388"/>
      <c r="MUZ29" s="388"/>
      <c r="MVA29" s="388"/>
      <c r="MVB29" s="388"/>
      <c r="MVC29" s="388"/>
      <c r="MVD29" s="388"/>
      <c r="MVE29" s="388"/>
      <c r="MVF29" s="388"/>
      <c r="MVG29" s="388"/>
      <c r="MVH29" s="388"/>
      <c r="MVI29" s="388"/>
      <c r="MVJ29" s="388"/>
      <c r="MVK29" s="388"/>
      <c r="MVL29" s="388"/>
      <c r="MVM29" s="388"/>
      <c r="MVN29" s="388"/>
      <c r="MVO29" s="388"/>
      <c r="MVP29" s="388"/>
      <c r="MVQ29" s="388"/>
      <c r="MVR29" s="388"/>
      <c r="MVS29" s="388"/>
      <c r="MVT29" s="388"/>
      <c r="MVU29" s="388"/>
      <c r="MVV29" s="388"/>
      <c r="MVW29" s="388"/>
      <c r="MVX29" s="388"/>
      <c r="MVY29" s="388"/>
      <c r="MVZ29" s="388"/>
      <c r="MWA29" s="388"/>
      <c r="MWB29" s="388"/>
      <c r="MWC29" s="388"/>
      <c r="MWD29" s="388"/>
      <c r="MWE29" s="388"/>
      <c r="MWF29" s="388"/>
      <c r="MWG29" s="388"/>
      <c r="MWH29" s="388"/>
      <c r="MWI29" s="388"/>
      <c r="MWJ29" s="388"/>
      <c r="MWK29" s="388"/>
      <c r="MWL29" s="388"/>
      <c r="MWM29" s="388"/>
      <c r="MWN29" s="388"/>
      <c r="MWO29" s="388"/>
      <c r="MWP29" s="388"/>
      <c r="MWQ29" s="388"/>
      <c r="MWR29" s="388"/>
      <c r="MWS29" s="388"/>
      <c r="MWT29" s="388"/>
      <c r="MWU29" s="388"/>
      <c r="MWV29" s="388"/>
      <c r="MWW29" s="388"/>
      <c r="MWX29" s="388"/>
      <c r="MWY29" s="388"/>
      <c r="MWZ29" s="388"/>
      <c r="MXA29" s="388"/>
      <c r="MXB29" s="388"/>
      <c r="MXC29" s="388"/>
      <c r="MXD29" s="388"/>
      <c r="MXE29" s="388"/>
      <c r="MXF29" s="388"/>
      <c r="MXG29" s="388"/>
      <c r="MXH29" s="388"/>
      <c r="MXI29" s="388"/>
      <c r="MXJ29" s="388"/>
      <c r="MXK29" s="388"/>
      <c r="MXL29" s="388"/>
      <c r="MXM29" s="388"/>
      <c r="MXN29" s="388"/>
      <c r="MXO29" s="388"/>
      <c r="MXP29" s="388"/>
      <c r="MXQ29" s="388"/>
      <c r="MXR29" s="388"/>
      <c r="MXS29" s="388"/>
      <c r="MXT29" s="388"/>
      <c r="MXU29" s="388"/>
      <c r="MXV29" s="388"/>
      <c r="MXW29" s="388"/>
      <c r="MXX29" s="388"/>
      <c r="MXY29" s="388"/>
      <c r="MXZ29" s="388"/>
      <c r="MYA29" s="388"/>
      <c r="MYB29" s="388"/>
      <c r="MYC29" s="388"/>
      <c r="MYD29" s="388"/>
      <c r="MYE29" s="388"/>
      <c r="MYF29" s="388"/>
      <c r="MYG29" s="388"/>
      <c r="MYH29" s="388"/>
      <c r="MYI29" s="388"/>
      <c r="MYJ29" s="388"/>
      <c r="MYK29" s="388"/>
      <c r="MYL29" s="388"/>
      <c r="MYM29" s="388"/>
      <c r="MYN29" s="388"/>
      <c r="MYO29" s="388"/>
      <c r="MYP29" s="388"/>
      <c r="MYQ29" s="388"/>
      <c r="MYR29" s="388"/>
      <c r="MYS29" s="388"/>
      <c r="MYT29" s="388"/>
      <c r="MYU29" s="388"/>
      <c r="MYV29" s="388"/>
      <c r="MYW29" s="388"/>
      <c r="MYX29" s="388"/>
      <c r="MYY29" s="388"/>
      <c r="MYZ29" s="388"/>
      <c r="MZA29" s="388"/>
      <c r="MZB29" s="388"/>
      <c r="MZC29" s="388"/>
      <c r="MZD29" s="388"/>
      <c r="MZE29" s="388"/>
      <c r="MZF29" s="388"/>
      <c r="MZG29" s="388"/>
      <c r="MZH29" s="388"/>
      <c r="MZI29" s="388"/>
      <c r="MZJ29" s="388"/>
      <c r="MZK29" s="388"/>
      <c r="MZL29" s="388"/>
      <c r="MZM29" s="388"/>
      <c r="MZN29" s="388"/>
      <c r="MZO29" s="388"/>
      <c r="MZP29" s="388"/>
      <c r="MZQ29" s="388"/>
      <c r="MZR29" s="388"/>
      <c r="MZS29" s="388"/>
      <c r="MZT29" s="388"/>
      <c r="MZU29" s="388"/>
      <c r="MZV29" s="388"/>
      <c r="MZW29" s="388"/>
      <c r="MZX29" s="388"/>
      <c r="MZY29" s="388"/>
      <c r="MZZ29" s="388"/>
      <c r="NAA29" s="388"/>
      <c r="NAB29" s="388"/>
      <c r="NAC29" s="388"/>
      <c r="NAD29" s="388"/>
      <c r="NAE29" s="388"/>
      <c r="NAF29" s="388"/>
      <c r="NAG29" s="388"/>
      <c r="NAH29" s="388"/>
      <c r="NAI29" s="388"/>
      <c r="NAJ29" s="388"/>
      <c r="NAK29" s="388"/>
      <c r="NAL29" s="388"/>
      <c r="NAM29" s="388"/>
      <c r="NAN29" s="388"/>
      <c r="NAO29" s="388"/>
      <c r="NAP29" s="388"/>
      <c r="NAQ29" s="388"/>
      <c r="NAR29" s="388"/>
      <c r="NAS29" s="388"/>
      <c r="NAT29" s="388"/>
      <c r="NAU29" s="388"/>
      <c r="NAV29" s="388"/>
      <c r="NAW29" s="388"/>
      <c r="NAX29" s="388"/>
      <c r="NAY29" s="388"/>
      <c r="NAZ29" s="388"/>
      <c r="NBA29" s="388"/>
      <c r="NBB29" s="388"/>
      <c r="NBC29" s="388"/>
      <c r="NBD29" s="388"/>
      <c r="NBE29" s="388"/>
      <c r="NBF29" s="388"/>
      <c r="NBG29" s="388"/>
      <c r="NBH29" s="388"/>
      <c r="NBI29" s="388"/>
      <c r="NBJ29" s="388"/>
      <c r="NBK29" s="388"/>
      <c r="NBL29" s="388"/>
      <c r="NBM29" s="388"/>
      <c r="NBN29" s="388"/>
      <c r="NBO29" s="388"/>
      <c r="NBP29" s="388"/>
      <c r="NBQ29" s="388"/>
      <c r="NBR29" s="388"/>
      <c r="NBS29" s="388"/>
      <c r="NBT29" s="388"/>
      <c r="NBU29" s="388"/>
      <c r="NBV29" s="388"/>
      <c r="NBW29" s="388"/>
      <c r="NBX29" s="388"/>
      <c r="NBY29" s="388"/>
      <c r="NBZ29" s="388"/>
      <c r="NCA29" s="388"/>
      <c r="NCB29" s="388"/>
      <c r="NCC29" s="388"/>
      <c r="NCD29" s="388"/>
      <c r="NCE29" s="388"/>
      <c r="NCF29" s="388"/>
      <c r="NCG29" s="388"/>
      <c r="NCH29" s="388"/>
      <c r="NCI29" s="388"/>
      <c r="NCJ29" s="388"/>
      <c r="NCK29" s="388"/>
      <c r="NCL29" s="388"/>
      <c r="NCM29" s="388"/>
      <c r="NCN29" s="388"/>
      <c r="NCO29" s="388"/>
      <c r="NCP29" s="388"/>
      <c r="NCQ29" s="388"/>
      <c r="NCR29" s="388"/>
      <c r="NCS29" s="388"/>
      <c r="NCT29" s="388"/>
      <c r="NCU29" s="388"/>
      <c r="NCV29" s="388"/>
      <c r="NCW29" s="388"/>
      <c r="NCX29" s="388"/>
      <c r="NCY29" s="388"/>
      <c r="NCZ29" s="388"/>
      <c r="NDA29" s="388"/>
      <c r="NDB29" s="388"/>
      <c r="NDC29" s="388"/>
      <c r="NDD29" s="388"/>
      <c r="NDE29" s="388"/>
      <c r="NDF29" s="388"/>
      <c r="NDG29" s="388"/>
      <c r="NDH29" s="388"/>
      <c r="NDI29" s="388"/>
      <c r="NDJ29" s="388"/>
      <c r="NDK29" s="388"/>
      <c r="NDL29" s="388"/>
      <c r="NDM29" s="388"/>
      <c r="NDN29" s="388"/>
      <c r="NDO29" s="388"/>
      <c r="NDP29" s="388"/>
      <c r="NDQ29" s="388"/>
      <c r="NDR29" s="388"/>
      <c r="NDS29" s="388"/>
      <c r="NDT29" s="388"/>
      <c r="NDU29" s="388"/>
      <c r="NDV29" s="388"/>
      <c r="NDW29" s="388"/>
      <c r="NDX29" s="388"/>
      <c r="NDY29" s="388"/>
      <c r="NDZ29" s="388"/>
      <c r="NEA29" s="388"/>
      <c r="NEB29" s="388"/>
      <c r="NEC29" s="388"/>
      <c r="NED29" s="388"/>
      <c r="NEE29" s="388"/>
      <c r="NEF29" s="388"/>
      <c r="NEG29" s="388"/>
      <c r="NEH29" s="388"/>
      <c r="NEI29" s="388"/>
      <c r="NEJ29" s="388"/>
      <c r="NEK29" s="388"/>
      <c r="NEL29" s="388"/>
      <c r="NEM29" s="388"/>
      <c r="NEN29" s="388"/>
      <c r="NEO29" s="388"/>
      <c r="NEP29" s="388"/>
      <c r="NEQ29" s="388"/>
      <c r="NER29" s="388"/>
      <c r="NES29" s="388"/>
      <c r="NET29" s="388"/>
      <c r="NEU29" s="388"/>
      <c r="NEV29" s="388"/>
      <c r="NEW29" s="388"/>
      <c r="NEX29" s="388"/>
      <c r="NEY29" s="388"/>
      <c r="NEZ29" s="388"/>
      <c r="NFA29" s="388"/>
      <c r="NFB29" s="388"/>
      <c r="NFC29" s="388"/>
      <c r="NFD29" s="388"/>
      <c r="NFE29" s="388"/>
      <c r="NFF29" s="388"/>
      <c r="NFG29" s="388"/>
      <c r="NFH29" s="388"/>
      <c r="NFI29" s="388"/>
      <c r="NFJ29" s="388"/>
      <c r="NFK29" s="388"/>
      <c r="NFL29" s="388"/>
      <c r="NFM29" s="388"/>
      <c r="NFN29" s="388"/>
      <c r="NFO29" s="388"/>
      <c r="NFP29" s="388"/>
      <c r="NFQ29" s="388"/>
      <c r="NFR29" s="388"/>
      <c r="NFS29" s="388"/>
      <c r="NFT29" s="388"/>
      <c r="NFU29" s="388"/>
      <c r="NFV29" s="388"/>
      <c r="NFW29" s="388"/>
      <c r="NFX29" s="388"/>
      <c r="NFY29" s="388"/>
      <c r="NFZ29" s="388"/>
      <c r="NGA29" s="388"/>
      <c r="NGB29" s="388"/>
      <c r="NGC29" s="388"/>
      <c r="NGD29" s="388"/>
      <c r="NGE29" s="388"/>
      <c r="NGF29" s="388"/>
      <c r="NGG29" s="388"/>
      <c r="NGH29" s="388"/>
      <c r="NGI29" s="388"/>
      <c r="NGJ29" s="388"/>
      <c r="NGK29" s="388"/>
      <c r="NGL29" s="388"/>
      <c r="NGM29" s="388"/>
      <c r="NGN29" s="388"/>
      <c r="NGO29" s="388"/>
      <c r="NGP29" s="388"/>
      <c r="NGQ29" s="388"/>
      <c r="NGR29" s="388"/>
      <c r="NGS29" s="388"/>
      <c r="NGT29" s="388"/>
      <c r="NGU29" s="388"/>
      <c r="NGV29" s="388"/>
      <c r="NGW29" s="388"/>
      <c r="NGX29" s="388"/>
      <c r="NGY29" s="388"/>
      <c r="NGZ29" s="388"/>
      <c r="NHA29" s="388"/>
      <c r="NHB29" s="388"/>
      <c r="NHC29" s="388"/>
      <c r="NHD29" s="388"/>
      <c r="NHE29" s="388"/>
      <c r="NHF29" s="388"/>
      <c r="NHG29" s="388"/>
      <c r="NHH29" s="388"/>
      <c r="NHI29" s="388"/>
      <c r="NHJ29" s="388"/>
      <c r="NHK29" s="388"/>
      <c r="NHL29" s="388"/>
      <c r="NHM29" s="388"/>
      <c r="NHN29" s="388"/>
      <c r="NHO29" s="388"/>
      <c r="NHP29" s="388"/>
      <c r="NHQ29" s="388"/>
      <c r="NHR29" s="388"/>
      <c r="NHS29" s="388"/>
      <c r="NHT29" s="388"/>
      <c r="NHU29" s="388"/>
      <c r="NHV29" s="388"/>
      <c r="NHW29" s="388"/>
      <c r="NHX29" s="388"/>
      <c r="NHY29" s="388"/>
      <c r="NHZ29" s="388"/>
      <c r="NIA29" s="388"/>
      <c r="NIB29" s="388"/>
      <c r="NIC29" s="388"/>
      <c r="NID29" s="388"/>
      <c r="NIE29" s="388"/>
      <c r="NIF29" s="388"/>
      <c r="NIG29" s="388"/>
      <c r="NIH29" s="388"/>
      <c r="NII29" s="388"/>
      <c r="NIJ29" s="388"/>
      <c r="NIK29" s="388"/>
      <c r="NIL29" s="388"/>
      <c r="NIM29" s="388"/>
      <c r="NIN29" s="388"/>
      <c r="NIO29" s="388"/>
      <c r="NIP29" s="388"/>
      <c r="NIQ29" s="388"/>
      <c r="NIR29" s="388"/>
      <c r="NIS29" s="388"/>
      <c r="NIT29" s="388"/>
      <c r="NIU29" s="388"/>
      <c r="NIV29" s="388"/>
      <c r="NIW29" s="388"/>
      <c r="NIX29" s="388"/>
      <c r="NIY29" s="388"/>
      <c r="NIZ29" s="388"/>
      <c r="NJA29" s="388"/>
      <c r="NJB29" s="388"/>
      <c r="NJC29" s="388"/>
      <c r="NJD29" s="388"/>
      <c r="NJE29" s="388"/>
      <c r="NJF29" s="388"/>
      <c r="NJG29" s="388"/>
      <c r="NJH29" s="388"/>
      <c r="NJI29" s="388"/>
      <c r="NJJ29" s="388"/>
      <c r="NJK29" s="388"/>
      <c r="NJL29" s="388"/>
      <c r="NJM29" s="388"/>
      <c r="NJN29" s="388"/>
      <c r="NJO29" s="388"/>
      <c r="NJP29" s="388"/>
      <c r="NJQ29" s="388"/>
      <c r="NJR29" s="388"/>
      <c r="NJS29" s="388"/>
      <c r="NJT29" s="388"/>
      <c r="NJU29" s="388"/>
      <c r="NJV29" s="388"/>
      <c r="NJW29" s="388"/>
      <c r="NJX29" s="388"/>
      <c r="NJY29" s="388"/>
      <c r="NJZ29" s="388"/>
      <c r="NKA29" s="388"/>
      <c r="NKB29" s="388"/>
      <c r="NKC29" s="388"/>
      <c r="NKD29" s="388"/>
      <c r="NKE29" s="388"/>
      <c r="NKF29" s="388"/>
      <c r="NKG29" s="388"/>
      <c r="NKH29" s="388"/>
      <c r="NKI29" s="388"/>
      <c r="NKJ29" s="388"/>
      <c r="NKK29" s="388"/>
      <c r="NKL29" s="388"/>
      <c r="NKM29" s="388"/>
      <c r="NKN29" s="388"/>
      <c r="NKO29" s="388"/>
      <c r="NKP29" s="388"/>
      <c r="NKQ29" s="388"/>
      <c r="NKR29" s="388"/>
      <c r="NKS29" s="388"/>
      <c r="NKT29" s="388"/>
      <c r="NKU29" s="388"/>
      <c r="NKV29" s="388"/>
      <c r="NKW29" s="388"/>
      <c r="NKX29" s="388"/>
      <c r="NKY29" s="388"/>
      <c r="NKZ29" s="388"/>
      <c r="NLA29" s="388"/>
      <c r="NLB29" s="388"/>
      <c r="NLC29" s="388"/>
      <c r="NLD29" s="388"/>
      <c r="NLE29" s="388"/>
      <c r="NLF29" s="388"/>
      <c r="NLG29" s="388"/>
      <c r="NLH29" s="388"/>
      <c r="NLI29" s="388"/>
      <c r="NLJ29" s="388"/>
      <c r="NLK29" s="388"/>
      <c r="NLL29" s="388"/>
      <c r="NLM29" s="388"/>
      <c r="NLN29" s="388"/>
      <c r="NLO29" s="388"/>
      <c r="NLP29" s="388"/>
      <c r="NLQ29" s="388"/>
      <c r="NLR29" s="388"/>
      <c r="NLS29" s="388"/>
      <c r="NLT29" s="388"/>
      <c r="NLU29" s="388"/>
      <c r="NLV29" s="388"/>
      <c r="NLW29" s="388"/>
      <c r="NLX29" s="388"/>
      <c r="NLY29" s="388"/>
      <c r="NLZ29" s="388"/>
      <c r="NMA29" s="388"/>
      <c r="NMB29" s="388"/>
      <c r="NMC29" s="388"/>
      <c r="NMD29" s="388"/>
      <c r="NME29" s="388"/>
      <c r="NMF29" s="388"/>
      <c r="NMG29" s="388"/>
      <c r="NMH29" s="388"/>
      <c r="NMI29" s="388"/>
      <c r="NMJ29" s="388"/>
      <c r="NMK29" s="388"/>
      <c r="NML29" s="388"/>
      <c r="NMM29" s="388"/>
      <c r="NMN29" s="388"/>
      <c r="NMO29" s="388"/>
      <c r="NMP29" s="388"/>
      <c r="NMQ29" s="388"/>
      <c r="NMR29" s="388"/>
      <c r="NMS29" s="388"/>
      <c r="NMT29" s="388"/>
      <c r="NMU29" s="388"/>
      <c r="NMV29" s="388"/>
      <c r="NMW29" s="388"/>
      <c r="NMX29" s="388"/>
      <c r="NMY29" s="388"/>
      <c r="NMZ29" s="388"/>
      <c r="NNA29" s="388"/>
      <c r="NNB29" s="388"/>
      <c r="NNC29" s="388"/>
      <c r="NND29" s="388"/>
      <c r="NNE29" s="388"/>
      <c r="NNF29" s="388"/>
      <c r="NNG29" s="388"/>
      <c r="NNH29" s="388"/>
      <c r="NNI29" s="388"/>
      <c r="NNJ29" s="388"/>
      <c r="NNK29" s="388"/>
      <c r="NNL29" s="388"/>
      <c r="NNM29" s="388"/>
      <c r="NNN29" s="388"/>
      <c r="NNO29" s="388"/>
      <c r="NNP29" s="388"/>
      <c r="NNQ29" s="388"/>
      <c r="NNR29" s="388"/>
      <c r="NNS29" s="388"/>
      <c r="NNT29" s="388"/>
      <c r="NNU29" s="388"/>
      <c r="NNV29" s="388"/>
      <c r="NNW29" s="388"/>
      <c r="NNX29" s="388"/>
      <c r="NNY29" s="388"/>
      <c r="NNZ29" s="388"/>
      <c r="NOA29" s="388"/>
      <c r="NOB29" s="388"/>
      <c r="NOC29" s="388"/>
      <c r="NOD29" s="388"/>
      <c r="NOE29" s="388"/>
      <c r="NOF29" s="388"/>
      <c r="NOG29" s="388"/>
      <c r="NOH29" s="388"/>
      <c r="NOI29" s="388"/>
      <c r="NOJ29" s="388"/>
      <c r="NOK29" s="388"/>
      <c r="NOL29" s="388"/>
      <c r="NOM29" s="388"/>
      <c r="NON29" s="388"/>
      <c r="NOO29" s="388"/>
      <c r="NOP29" s="388"/>
      <c r="NOQ29" s="388"/>
      <c r="NOR29" s="388"/>
      <c r="NOS29" s="388"/>
      <c r="NOT29" s="388"/>
      <c r="NOU29" s="388"/>
      <c r="NOV29" s="388"/>
      <c r="NOW29" s="388"/>
      <c r="NOX29" s="388"/>
      <c r="NOY29" s="388"/>
      <c r="NOZ29" s="388"/>
      <c r="NPA29" s="388"/>
      <c r="NPB29" s="388"/>
      <c r="NPC29" s="388"/>
      <c r="NPD29" s="388"/>
      <c r="NPE29" s="388"/>
      <c r="NPF29" s="388"/>
      <c r="NPG29" s="388"/>
      <c r="NPH29" s="388"/>
      <c r="NPI29" s="388"/>
      <c r="NPJ29" s="388"/>
      <c r="NPK29" s="388"/>
      <c r="NPL29" s="388"/>
      <c r="NPM29" s="388"/>
      <c r="NPN29" s="388"/>
      <c r="NPO29" s="388"/>
      <c r="NPP29" s="388"/>
      <c r="NPQ29" s="388"/>
      <c r="NPR29" s="388"/>
      <c r="NPS29" s="388"/>
      <c r="NPT29" s="388"/>
      <c r="NPU29" s="388"/>
      <c r="NPV29" s="388"/>
      <c r="NPW29" s="388"/>
      <c r="NPX29" s="388"/>
      <c r="NPY29" s="388"/>
      <c r="NPZ29" s="388"/>
      <c r="NQA29" s="388"/>
      <c r="NQB29" s="388"/>
      <c r="NQC29" s="388"/>
      <c r="NQD29" s="388"/>
      <c r="NQE29" s="388"/>
      <c r="NQF29" s="388"/>
      <c r="NQG29" s="388"/>
      <c r="NQH29" s="388"/>
      <c r="NQI29" s="388"/>
      <c r="NQJ29" s="388"/>
      <c r="NQK29" s="388"/>
      <c r="NQL29" s="388"/>
      <c r="NQM29" s="388"/>
      <c r="NQN29" s="388"/>
      <c r="NQO29" s="388"/>
      <c r="NQP29" s="388"/>
      <c r="NQQ29" s="388"/>
      <c r="NQR29" s="388"/>
      <c r="NQS29" s="388"/>
      <c r="NQT29" s="388"/>
      <c r="NQU29" s="388"/>
      <c r="NQV29" s="388"/>
      <c r="NQW29" s="388"/>
      <c r="NQX29" s="388"/>
      <c r="NQY29" s="388"/>
      <c r="NQZ29" s="388"/>
      <c r="NRA29" s="388"/>
      <c r="NRB29" s="388"/>
      <c r="NRC29" s="388"/>
      <c r="NRD29" s="388"/>
      <c r="NRE29" s="388"/>
      <c r="NRF29" s="388"/>
      <c r="NRG29" s="388"/>
      <c r="NRH29" s="388"/>
      <c r="NRI29" s="388"/>
      <c r="NRJ29" s="388"/>
      <c r="NRK29" s="388"/>
      <c r="NRL29" s="388"/>
      <c r="NRM29" s="388"/>
      <c r="NRN29" s="388"/>
      <c r="NRO29" s="388"/>
      <c r="NRP29" s="388"/>
      <c r="NRQ29" s="388"/>
      <c r="NRR29" s="388"/>
      <c r="NRS29" s="388"/>
      <c r="NRT29" s="388"/>
      <c r="NRU29" s="388"/>
      <c r="NRV29" s="388"/>
      <c r="NRW29" s="388"/>
      <c r="NRX29" s="388"/>
      <c r="NRY29" s="388"/>
      <c r="NRZ29" s="388"/>
      <c r="NSA29" s="388"/>
      <c r="NSB29" s="388"/>
      <c r="NSC29" s="388"/>
      <c r="NSD29" s="388"/>
      <c r="NSE29" s="388"/>
      <c r="NSF29" s="388"/>
      <c r="NSG29" s="388"/>
      <c r="NSH29" s="388"/>
      <c r="NSI29" s="388"/>
      <c r="NSJ29" s="388"/>
      <c r="NSK29" s="388"/>
      <c r="NSL29" s="388"/>
      <c r="NSM29" s="388"/>
      <c r="NSN29" s="388"/>
      <c r="NSO29" s="388"/>
      <c r="NSP29" s="388"/>
      <c r="NSQ29" s="388"/>
      <c r="NSR29" s="388"/>
      <c r="NSS29" s="388"/>
      <c r="NST29" s="388"/>
      <c r="NSU29" s="388"/>
      <c r="NSV29" s="388"/>
      <c r="NSW29" s="388"/>
      <c r="NSX29" s="388"/>
      <c r="NSY29" s="388"/>
      <c r="NSZ29" s="388"/>
      <c r="NTA29" s="388"/>
      <c r="NTB29" s="388"/>
      <c r="NTC29" s="388"/>
      <c r="NTD29" s="388"/>
      <c r="NTE29" s="388"/>
      <c r="NTF29" s="388"/>
      <c r="NTG29" s="388"/>
      <c r="NTH29" s="388"/>
      <c r="NTI29" s="388"/>
      <c r="NTJ29" s="388"/>
      <c r="NTK29" s="388"/>
      <c r="NTL29" s="388"/>
      <c r="NTM29" s="388"/>
      <c r="NTN29" s="388"/>
      <c r="NTO29" s="388"/>
      <c r="NTP29" s="388"/>
      <c r="NTQ29" s="388"/>
      <c r="NTR29" s="388"/>
      <c r="NTS29" s="388"/>
      <c r="NTT29" s="388"/>
      <c r="NTU29" s="388"/>
      <c r="NTV29" s="388"/>
      <c r="NTW29" s="388"/>
      <c r="NTX29" s="388"/>
      <c r="NTY29" s="388"/>
      <c r="NTZ29" s="388"/>
      <c r="NUA29" s="388"/>
      <c r="NUB29" s="388"/>
      <c r="NUC29" s="388"/>
      <c r="NUD29" s="388"/>
      <c r="NUE29" s="388"/>
      <c r="NUF29" s="388"/>
      <c r="NUG29" s="388"/>
      <c r="NUH29" s="388"/>
      <c r="NUI29" s="388"/>
      <c r="NUJ29" s="388"/>
      <c r="NUK29" s="388"/>
      <c r="NUL29" s="388"/>
      <c r="NUM29" s="388"/>
      <c r="NUN29" s="388"/>
      <c r="NUO29" s="388"/>
      <c r="NUP29" s="388"/>
      <c r="NUQ29" s="388"/>
      <c r="NUR29" s="388"/>
      <c r="NUS29" s="388"/>
      <c r="NUT29" s="388"/>
      <c r="NUU29" s="388"/>
      <c r="NUV29" s="388"/>
      <c r="NUW29" s="388"/>
      <c r="NUX29" s="388"/>
      <c r="NUY29" s="388"/>
      <c r="NUZ29" s="388"/>
      <c r="NVA29" s="388"/>
      <c r="NVB29" s="388"/>
      <c r="NVC29" s="388"/>
      <c r="NVD29" s="388"/>
      <c r="NVE29" s="388"/>
      <c r="NVF29" s="388"/>
      <c r="NVG29" s="388"/>
      <c r="NVH29" s="388"/>
      <c r="NVI29" s="388"/>
      <c r="NVJ29" s="388"/>
      <c r="NVK29" s="388"/>
      <c r="NVL29" s="388"/>
      <c r="NVM29" s="388"/>
      <c r="NVN29" s="388"/>
      <c r="NVO29" s="388"/>
      <c r="NVP29" s="388"/>
      <c r="NVQ29" s="388"/>
      <c r="NVR29" s="388"/>
      <c r="NVS29" s="388"/>
      <c r="NVT29" s="388"/>
      <c r="NVU29" s="388"/>
      <c r="NVV29" s="388"/>
      <c r="NVW29" s="388"/>
      <c r="NVX29" s="388"/>
      <c r="NVY29" s="388"/>
      <c r="NVZ29" s="388"/>
      <c r="NWA29" s="388"/>
      <c r="NWB29" s="388"/>
      <c r="NWC29" s="388"/>
      <c r="NWD29" s="388"/>
      <c r="NWE29" s="388"/>
      <c r="NWF29" s="388"/>
      <c r="NWG29" s="388"/>
      <c r="NWH29" s="388"/>
      <c r="NWI29" s="388"/>
      <c r="NWJ29" s="388"/>
      <c r="NWK29" s="388"/>
      <c r="NWL29" s="388"/>
      <c r="NWM29" s="388"/>
      <c r="NWN29" s="388"/>
      <c r="NWO29" s="388"/>
      <c r="NWP29" s="388"/>
      <c r="NWQ29" s="388"/>
      <c r="NWR29" s="388"/>
      <c r="NWS29" s="388"/>
      <c r="NWT29" s="388"/>
      <c r="NWU29" s="388"/>
      <c r="NWV29" s="388"/>
      <c r="NWW29" s="388"/>
      <c r="NWX29" s="388"/>
      <c r="NWY29" s="388"/>
      <c r="NWZ29" s="388"/>
      <c r="NXA29" s="388"/>
      <c r="NXB29" s="388"/>
      <c r="NXC29" s="388"/>
      <c r="NXD29" s="388"/>
      <c r="NXE29" s="388"/>
      <c r="NXF29" s="388"/>
      <c r="NXG29" s="388"/>
      <c r="NXH29" s="388"/>
      <c r="NXI29" s="388"/>
      <c r="NXJ29" s="388"/>
      <c r="NXK29" s="388"/>
      <c r="NXL29" s="388"/>
      <c r="NXM29" s="388"/>
      <c r="NXN29" s="388"/>
      <c r="NXO29" s="388"/>
      <c r="NXP29" s="388"/>
      <c r="NXQ29" s="388"/>
      <c r="NXR29" s="388"/>
      <c r="NXS29" s="388"/>
      <c r="NXT29" s="388"/>
      <c r="NXU29" s="388"/>
      <c r="NXV29" s="388"/>
      <c r="NXW29" s="388"/>
      <c r="NXX29" s="388"/>
      <c r="NXY29" s="388"/>
      <c r="NXZ29" s="388"/>
      <c r="NYA29" s="388"/>
      <c r="NYB29" s="388"/>
      <c r="NYC29" s="388"/>
      <c r="NYD29" s="388"/>
      <c r="NYE29" s="388"/>
      <c r="NYF29" s="388"/>
      <c r="NYG29" s="388"/>
      <c r="NYH29" s="388"/>
      <c r="NYI29" s="388"/>
      <c r="NYJ29" s="388"/>
      <c r="NYK29" s="388"/>
      <c r="NYL29" s="388"/>
      <c r="NYM29" s="388"/>
      <c r="NYN29" s="388"/>
      <c r="NYO29" s="388"/>
      <c r="NYP29" s="388"/>
      <c r="NYQ29" s="388"/>
      <c r="NYR29" s="388"/>
      <c r="NYS29" s="388"/>
      <c r="NYT29" s="388"/>
      <c r="NYU29" s="388"/>
      <c r="NYV29" s="388"/>
      <c r="NYW29" s="388"/>
      <c r="NYX29" s="388"/>
      <c r="NYY29" s="388"/>
      <c r="NYZ29" s="388"/>
      <c r="NZA29" s="388"/>
      <c r="NZB29" s="388"/>
      <c r="NZC29" s="388"/>
      <c r="NZD29" s="388"/>
      <c r="NZE29" s="388"/>
      <c r="NZF29" s="388"/>
      <c r="NZG29" s="388"/>
      <c r="NZH29" s="388"/>
      <c r="NZI29" s="388"/>
      <c r="NZJ29" s="388"/>
      <c r="NZK29" s="388"/>
      <c r="NZL29" s="388"/>
      <c r="NZM29" s="388"/>
      <c r="NZN29" s="388"/>
      <c r="NZO29" s="388"/>
      <c r="NZP29" s="388"/>
      <c r="NZQ29" s="388"/>
      <c r="NZR29" s="388"/>
      <c r="NZS29" s="388"/>
      <c r="NZT29" s="388"/>
      <c r="NZU29" s="388"/>
      <c r="NZV29" s="388"/>
      <c r="NZW29" s="388"/>
      <c r="NZX29" s="388"/>
      <c r="NZY29" s="388"/>
      <c r="NZZ29" s="388"/>
      <c r="OAA29" s="388"/>
      <c r="OAB29" s="388"/>
      <c r="OAC29" s="388"/>
      <c r="OAD29" s="388"/>
      <c r="OAE29" s="388"/>
      <c r="OAF29" s="388"/>
      <c r="OAG29" s="388"/>
      <c r="OAH29" s="388"/>
      <c r="OAI29" s="388"/>
      <c r="OAJ29" s="388"/>
      <c r="OAK29" s="388"/>
      <c r="OAL29" s="388"/>
      <c r="OAM29" s="388"/>
      <c r="OAN29" s="388"/>
      <c r="OAO29" s="388"/>
      <c r="OAP29" s="388"/>
      <c r="OAQ29" s="388"/>
      <c r="OAR29" s="388"/>
      <c r="OAS29" s="388"/>
      <c r="OAT29" s="388"/>
      <c r="OAU29" s="388"/>
      <c r="OAV29" s="388"/>
      <c r="OAW29" s="388"/>
      <c r="OAX29" s="388"/>
      <c r="OAY29" s="388"/>
      <c r="OAZ29" s="388"/>
      <c r="OBA29" s="388"/>
      <c r="OBB29" s="388"/>
      <c r="OBC29" s="388"/>
      <c r="OBD29" s="388"/>
      <c r="OBE29" s="388"/>
      <c r="OBF29" s="388"/>
      <c r="OBG29" s="388"/>
      <c r="OBH29" s="388"/>
      <c r="OBI29" s="388"/>
      <c r="OBJ29" s="388"/>
      <c r="OBK29" s="388"/>
      <c r="OBL29" s="388"/>
      <c r="OBM29" s="388"/>
      <c r="OBN29" s="388"/>
      <c r="OBO29" s="388"/>
      <c r="OBP29" s="388"/>
      <c r="OBQ29" s="388"/>
      <c r="OBR29" s="388"/>
      <c r="OBS29" s="388"/>
      <c r="OBT29" s="388"/>
      <c r="OBU29" s="388"/>
      <c r="OBV29" s="388"/>
      <c r="OBW29" s="388"/>
      <c r="OBX29" s="388"/>
      <c r="OBY29" s="388"/>
      <c r="OBZ29" s="388"/>
      <c r="OCA29" s="388"/>
      <c r="OCB29" s="388"/>
      <c r="OCC29" s="388"/>
      <c r="OCD29" s="388"/>
      <c r="OCE29" s="388"/>
      <c r="OCF29" s="388"/>
      <c r="OCG29" s="388"/>
      <c r="OCH29" s="388"/>
      <c r="OCI29" s="388"/>
      <c r="OCJ29" s="388"/>
      <c r="OCK29" s="388"/>
      <c r="OCL29" s="388"/>
      <c r="OCM29" s="388"/>
      <c r="OCN29" s="388"/>
      <c r="OCO29" s="388"/>
      <c r="OCP29" s="388"/>
      <c r="OCQ29" s="388"/>
      <c r="OCR29" s="388"/>
      <c r="OCS29" s="388"/>
      <c r="OCT29" s="388"/>
      <c r="OCU29" s="388"/>
      <c r="OCV29" s="388"/>
      <c r="OCW29" s="388"/>
      <c r="OCX29" s="388"/>
      <c r="OCY29" s="388"/>
      <c r="OCZ29" s="388"/>
      <c r="ODA29" s="388"/>
      <c r="ODB29" s="388"/>
      <c r="ODC29" s="388"/>
      <c r="ODD29" s="388"/>
      <c r="ODE29" s="388"/>
      <c r="ODF29" s="388"/>
      <c r="ODG29" s="388"/>
      <c r="ODH29" s="388"/>
      <c r="ODI29" s="388"/>
      <c r="ODJ29" s="388"/>
      <c r="ODK29" s="388"/>
      <c r="ODL29" s="388"/>
      <c r="ODM29" s="388"/>
      <c r="ODN29" s="388"/>
      <c r="ODO29" s="388"/>
      <c r="ODP29" s="388"/>
      <c r="ODQ29" s="388"/>
      <c r="ODR29" s="388"/>
      <c r="ODS29" s="388"/>
      <c r="ODT29" s="388"/>
      <c r="ODU29" s="388"/>
      <c r="ODV29" s="388"/>
      <c r="ODW29" s="388"/>
      <c r="ODX29" s="388"/>
      <c r="ODY29" s="388"/>
      <c r="ODZ29" s="388"/>
      <c r="OEA29" s="388"/>
      <c r="OEB29" s="388"/>
      <c r="OEC29" s="388"/>
      <c r="OED29" s="388"/>
      <c r="OEE29" s="388"/>
      <c r="OEF29" s="388"/>
      <c r="OEG29" s="388"/>
      <c r="OEH29" s="388"/>
      <c r="OEI29" s="388"/>
      <c r="OEJ29" s="388"/>
      <c r="OEK29" s="388"/>
      <c r="OEL29" s="388"/>
      <c r="OEM29" s="388"/>
      <c r="OEN29" s="388"/>
      <c r="OEO29" s="388"/>
      <c r="OEP29" s="388"/>
      <c r="OEQ29" s="388"/>
      <c r="OER29" s="388"/>
      <c r="OES29" s="388"/>
      <c r="OET29" s="388"/>
      <c r="OEU29" s="388"/>
      <c r="OEV29" s="388"/>
      <c r="OEW29" s="388"/>
      <c r="OEX29" s="388"/>
      <c r="OEY29" s="388"/>
      <c r="OEZ29" s="388"/>
      <c r="OFA29" s="388"/>
      <c r="OFB29" s="388"/>
      <c r="OFC29" s="388"/>
      <c r="OFD29" s="388"/>
      <c r="OFE29" s="388"/>
      <c r="OFF29" s="388"/>
      <c r="OFG29" s="388"/>
      <c r="OFH29" s="388"/>
      <c r="OFI29" s="388"/>
      <c r="OFJ29" s="388"/>
      <c r="OFK29" s="388"/>
      <c r="OFL29" s="388"/>
      <c r="OFM29" s="388"/>
      <c r="OFN29" s="388"/>
      <c r="OFO29" s="388"/>
      <c r="OFP29" s="388"/>
      <c r="OFQ29" s="388"/>
      <c r="OFR29" s="388"/>
      <c r="OFS29" s="388"/>
      <c r="OFT29" s="388"/>
      <c r="OFU29" s="388"/>
      <c r="OFV29" s="388"/>
      <c r="OFW29" s="388"/>
      <c r="OFX29" s="388"/>
      <c r="OFY29" s="388"/>
      <c r="OFZ29" s="388"/>
      <c r="OGA29" s="388"/>
      <c r="OGB29" s="388"/>
      <c r="OGC29" s="388"/>
      <c r="OGD29" s="388"/>
      <c r="OGE29" s="388"/>
      <c r="OGF29" s="388"/>
      <c r="OGG29" s="388"/>
      <c r="OGH29" s="388"/>
      <c r="OGI29" s="388"/>
      <c r="OGJ29" s="388"/>
      <c r="OGK29" s="388"/>
      <c r="OGL29" s="388"/>
      <c r="OGM29" s="388"/>
      <c r="OGN29" s="388"/>
      <c r="OGO29" s="388"/>
      <c r="OGP29" s="388"/>
      <c r="OGQ29" s="388"/>
      <c r="OGR29" s="388"/>
      <c r="OGS29" s="388"/>
      <c r="OGT29" s="388"/>
      <c r="OGU29" s="388"/>
      <c r="OGV29" s="388"/>
      <c r="OGW29" s="388"/>
      <c r="OGX29" s="388"/>
      <c r="OGY29" s="388"/>
      <c r="OGZ29" s="388"/>
      <c r="OHA29" s="388"/>
      <c r="OHB29" s="388"/>
      <c r="OHC29" s="388"/>
      <c r="OHD29" s="388"/>
      <c r="OHE29" s="388"/>
      <c r="OHF29" s="388"/>
      <c r="OHG29" s="388"/>
      <c r="OHH29" s="388"/>
      <c r="OHI29" s="388"/>
      <c r="OHJ29" s="388"/>
      <c r="OHK29" s="388"/>
      <c r="OHL29" s="388"/>
      <c r="OHM29" s="388"/>
      <c r="OHN29" s="388"/>
      <c r="OHO29" s="388"/>
      <c r="OHP29" s="388"/>
      <c r="OHQ29" s="388"/>
      <c r="OHR29" s="388"/>
      <c r="OHS29" s="388"/>
      <c r="OHT29" s="388"/>
      <c r="OHU29" s="388"/>
      <c r="OHV29" s="388"/>
      <c r="OHW29" s="388"/>
      <c r="OHX29" s="388"/>
      <c r="OHY29" s="388"/>
      <c r="OHZ29" s="388"/>
      <c r="OIA29" s="388"/>
      <c r="OIB29" s="388"/>
      <c r="OIC29" s="388"/>
      <c r="OID29" s="388"/>
      <c r="OIE29" s="388"/>
      <c r="OIF29" s="388"/>
      <c r="OIG29" s="388"/>
      <c r="OIH29" s="388"/>
      <c r="OII29" s="388"/>
      <c r="OIJ29" s="388"/>
      <c r="OIK29" s="388"/>
      <c r="OIL29" s="388"/>
      <c r="OIM29" s="388"/>
      <c r="OIN29" s="388"/>
      <c r="OIO29" s="388"/>
      <c r="OIP29" s="388"/>
      <c r="OIQ29" s="388"/>
      <c r="OIR29" s="388"/>
      <c r="OIS29" s="388"/>
      <c r="OIT29" s="388"/>
      <c r="OIU29" s="388"/>
      <c r="OIV29" s="388"/>
      <c r="OIW29" s="388"/>
      <c r="OIX29" s="388"/>
      <c r="OIY29" s="388"/>
      <c r="OIZ29" s="388"/>
      <c r="OJA29" s="388"/>
      <c r="OJB29" s="388"/>
      <c r="OJC29" s="388"/>
      <c r="OJD29" s="388"/>
      <c r="OJE29" s="388"/>
      <c r="OJF29" s="388"/>
      <c r="OJG29" s="388"/>
      <c r="OJH29" s="388"/>
      <c r="OJI29" s="388"/>
      <c r="OJJ29" s="388"/>
      <c r="OJK29" s="388"/>
      <c r="OJL29" s="388"/>
      <c r="OJM29" s="388"/>
      <c r="OJN29" s="388"/>
      <c r="OJO29" s="388"/>
      <c r="OJP29" s="388"/>
      <c r="OJQ29" s="388"/>
      <c r="OJR29" s="388"/>
      <c r="OJS29" s="388"/>
      <c r="OJT29" s="388"/>
      <c r="OJU29" s="388"/>
      <c r="OJV29" s="388"/>
      <c r="OJW29" s="388"/>
      <c r="OJX29" s="388"/>
      <c r="OJY29" s="388"/>
      <c r="OJZ29" s="388"/>
      <c r="OKA29" s="388"/>
      <c r="OKB29" s="388"/>
      <c r="OKC29" s="388"/>
      <c r="OKD29" s="388"/>
      <c r="OKE29" s="388"/>
      <c r="OKF29" s="388"/>
      <c r="OKG29" s="388"/>
      <c r="OKH29" s="388"/>
      <c r="OKI29" s="388"/>
      <c r="OKJ29" s="388"/>
      <c r="OKK29" s="388"/>
      <c r="OKL29" s="388"/>
      <c r="OKM29" s="388"/>
      <c r="OKN29" s="388"/>
      <c r="OKO29" s="388"/>
      <c r="OKP29" s="388"/>
      <c r="OKQ29" s="388"/>
      <c r="OKR29" s="388"/>
      <c r="OKS29" s="388"/>
      <c r="OKT29" s="388"/>
      <c r="OKU29" s="388"/>
      <c r="OKV29" s="388"/>
      <c r="OKW29" s="388"/>
      <c r="OKX29" s="388"/>
      <c r="OKY29" s="388"/>
      <c r="OKZ29" s="388"/>
      <c r="OLA29" s="388"/>
      <c r="OLB29" s="388"/>
      <c r="OLC29" s="388"/>
      <c r="OLD29" s="388"/>
      <c r="OLE29" s="388"/>
      <c r="OLF29" s="388"/>
      <c r="OLG29" s="388"/>
      <c r="OLH29" s="388"/>
      <c r="OLI29" s="388"/>
      <c r="OLJ29" s="388"/>
      <c r="OLK29" s="388"/>
      <c r="OLL29" s="388"/>
      <c r="OLM29" s="388"/>
      <c r="OLN29" s="388"/>
      <c r="OLO29" s="388"/>
      <c r="OLP29" s="388"/>
      <c r="OLQ29" s="388"/>
      <c r="OLR29" s="388"/>
      <c r="OLS29" s="388"/>
      <c r="OLT29" s="388"/>
      <c r="OLU29" s="388"/>
      <c r="OLV29" s="388"/>
      <c r="OLW29" s="388"/>
      <c r="OLX29" s="388"/>
      <c r="OLY29" s="388"/>
      <c r="OLZ29" s="388"/>
      <c r="OMA29" s="388"/>
      <c r="OMB29" s="388"/>
      <c r="OMC29" s="388"/>
      <c r="OMD29" s="388"/>
      <c r="OME29" s="388"/>
      <c r="OMF29" s="388"/>
      <c r="OMG29" s="388"/>
      <c r="OMH29" s="388"/>
      <c r="OMI29" s="388"/>
      <c r="OMJ29" s="388"/>
      <c r="OMK29" s="388"/>
      <c r="OML29" s="388"/>
      <c r="OMM29" s="388"/>
      <c r="OMN29" s="388"/>
      <c r="OMO29" s="388"/>
      <c r="OMP29" s="388"/>
      <c r="OMQ29" s="388"/>
      <c r="OMR29" s="388"/>
      <c r="OMS29" s="388"/>
      <c r="OMT29" s="388"/>
      <c r="OMU29" s="388"/>
      <c r="OMV29" s="388"/>
      <c r="OMW29" s="388"/>
      <c r="OMX29" s="388"/>
      <c r="OMY29" s="388"/>
      <c r="OMZ29" s="388"/>
      <c r="ONA29" s="388"/>
      <c r="ONB29" s="388"/>
      <c r="ONC29" s="388"/>
      <c r="OND29" s="388"/>
      <c r="ONE29" s="388"/>
      <c r="ONF29" s="388"/>
      <c r="ONG29" s="388"/>
      <c r="ONH29" s="388"/>
      <c r="ONI29" s="388"/>
      <c r="ONJ29" s="388"/>
      <c r="ONK29" s="388"/>
      <c r="ONL29" s="388"/>
      <c r="ONM29" s="388"/>
      <c r="ONN29" s="388"/>
      <c r="ONO29" s="388"/>
      <c r="ONP29" s="388"/>
      <c r="ONQ29" s="388"/>
      <c r="ONR29" s="388"/>
      <c r="ONS29" s="388"/>
      <c r="ONT29" s="388"/>
      <c r="ONU29" s="388"/>
      <c r="ONV29" s="388"/>
      <c r="ONW29" s="388"/>
      <c r="ONX29" s="388"/>
      <c r="ONY29" s="388"/>
      <c r="ONZ29" s="388"/>
      <c r="OOA29" s="388"/>
      <c r="OOB29" s="388"/>
      <c r="OOC29" s="388"/>
      <c r="OOD29" s="388"/>
      <c r="OOE29" s="388"/>
      <c r="OOF29" s="388"/>
      <c r="OOG29" s="388"/>
      <c r="OOH29" s="388"/>
      <c r="OOI29" s="388"/>
      <c r="OOJ29" s="388"/>
      <c r="OOK29" s="388"/>
      <c r="OOL29" s="388"/>
      <c r="OOM29" s="388"/>
      <c r="OON29" s="388"/>
      <c r="OOO29" s="388"/>
      <c r="OOP29" s="388"/>
      <c r="OOQ29" s="388"/>
      <c r="OOR29" s="388"/>
      <c r="OOS29" s="388"/>
      <c r="OOT29" s="388"/>
      <c r="OOU29" s="388"/>
      <c r="OOV29" s="388"/>
      <c r="OOW29" s="388"/>
      <c r="OOX29" s="388"/>
      <c r="OOY29" s="388"/>
      <c r="OOZ29" s="388"/>
      <c r="OPA29" s="388"/>
      <c r="OPB29" s="388"/>
      <c r="OPC29" s="388"/>
      <c r="OPD29" s="388"/>
      <c r="OPE29" s="388"/>
      <c r="OPF29" s="388"/>
      <c r="OPG29" s="388"/>
      <c r="OPH29" s="388"/>
      <c r="OPI29" s="388"/>
      <c r="OPJ29" s="388"/>
      <c r="OPK29" s="388"/>
      <c r="OPL29" s="388"/>
      <c r="OPM29" s="388"/>
      <c r="OPN29" s="388"/>
      <c r="OPO29" s="388"/>
      <c r="OPP29" s="388"/>
      <c r="OPQ29" s="388"/>
      <c r="OPR29" s="388"/>
      <c r="OPS29" s="388"/>
      <c r="OPT29" s="388"/>
      <c r="OPU29" s="388"/>
      <c r="OPV29" s="388"/>
      <c r="OPW29" s="388"/>
      <c r="OPX29" s="388"/>
      <c r="OPY29" s="388"/>
      <c r="OPZ29" s="388"/>
      <c r="OQA29" s="388"/>
      <c r="OQB29" s="388"/>
      <c r="OQC29" s="388"/>
      <c r="OQD29" s="388"/>
      <c r="OQE29" s="388"/>
      <c r="OQF29" s="388"/>
      <c r="OQG29" s="388"/>
      <c r="OQH29" s="388"/>
      <c r="OQI29" s="388"/>
      <c r="OQJ29" s="388"/>
      <c r="OQK29" s="388"/>
      <c r="OQL29" s="388"/>
      <c r="OQM29" s="388"/>
      <c r="OQN29" s="388"/>
      <c r="OQO29" s="388"/>
      <c r="OQP29" s="388"/>
      <c r="OQQ29" s="388"/>
      <c r="OQR29" s="388"/>
      <c r="OQS29" s="388"/>
      <c r="OQT29" s="388"/>
      <c r="OQU29" s="388"/>
      <c r="OQV29" s="388"/>
      <c r="OQW29" s="388"/>
      <c r="OQX29" s="388"/>
      <c r="OQY29" s="388"/>
      <c r="OQZ29" s="388"/>
      <c r="ORA29" s="388"/>
      <c r="ORB29" s="388"/>
      <c r="ORC29" s="388"/>
      <c r="ORD29" s="388"/>
      <c r="ORE29" s="388"/>
      <c r="ORF29" s="388"/>
      <c r="ORG29" s="388"/>
      <c r="ORH29" s="388"/>
      <c r="ORI29" s="388"/>
      <c r="ORJ29" s="388"/>
      <c r="ORK29" s="388"/>
      <c r="ORL29" s="388"/>
      <c r="ORM29" s="388"/>
      <c r="ORN29" s="388"/>
      <c r="ORO29" s="388"/>
      <c r="ORP29" s="388"/>
      <c r="ORQ29" s="388"/>
      <c r="ORR29" s="388"/>
      <c r="ORS29" s="388"/>
      <c r="ORT29" s="388"/>
      <c r="ORU29" s="388"/>
      <c r="ORV29" s="388"/>
      <c r="ORW29" s="388"/>
      <c r="ORX29" s="388"/>
      <c r="ORY29" s="388"/>
      <c r="ORZ29" s="388"/>
      <c r="OSA29" s="388"/>
      <c r="OSB29" s="388"/>
      <c r="OSC29" s="388"/>
      <c r="OSD29" s="388"/>
      <c r="OSE29" s="388"/>
      <c r="OSF29" s="388"/>
      <c r="OSG29" s="388"/>
      <c r="OSH29" s="388"/>
      <c r="OSI29" s="388"/>
      <c r="OSJ29" s="388"/>
      <c r="OSK29" s="388"/>
      <c r="OSL29" s="388"/>
      <c r="OSM29" s="388"/>
      <c r="OSN29" s="388"/>
      <c r="OSO29" s="388"/>
      <c r="OSP29" s="388"/>
      <c r="OSQ29" s="388"/>
      <c r="OSR29" s="388"/>
      <c r="OSS29" s="388"/>
      <c r="OST29" s="388"/>
      <c r="OSU29" s="388"/>
      <c r="OSV29" s="388"/>
      <c r="OSW29" s="388"/>
      <c r="OSX29" s="388"/>
      <c r="OSY29" s="388"/>
      <c r="OSZ29" s="388"/>
      <c r="OTA29" s="388"/>
      <c r="OTB29" s="388"/>
      <c r="OTC29" s="388"/>
      <c r="OTD29" s="388"/>
      <c r="OTE29" s="388"/>
      <c r="OTF29" s="388"/>
      <c r="OTG29" s="388"/>
      <c r="OTH29" s="388"/>
      <c r="OTI29" s="388"/>
      <c r="OTJ29" s="388"/>
      <c r="OTK29" s="388"/>
      <c r="OTL29" s="388"/>
      <c r="OTM29" s="388"/>
      <c r="OTN29" s="388"/>
      <c r="OTO29" s="388"/>
      <c r="OTP29" s="388"/>
      <c r="OTQ29" s="388"/>
      <c r="OTR29" s="388"/>
      <c r="OTS29" s="388"/>
      <c r="OTT29" s="388"/>
      <c r="OTU29" s="388"/>
      <c r="OTV29" s="388"/>
      <c r="OTW29" s="388"/>
      <c r="OTX29" s="388"/>
      <c r="OTY29" s="388"/>
      <c r="OTZ29" s="388"/>
      <c r="OUA29" s="388"/>
      <c r="OUB29" s="388"/>
      <c r="OUC29" s="388"/>
      <c r="OUD29" s="388"/>
      <c r="OUE29" s="388"/>
      <c r="OUF29" s="388"/>
      <c r="OUG29" s="388"/>
      <c r="OUH29" s="388"/>
      <c r="OUI29" s="388"/>
      <c r="OUJ29" s="388"/>
      <c r="OUK29" s="388"/>
      <c r="OUL29" s="388"/>
      <c r="OUM29" s="388"/>
      <c r="OUN29" s="388"/>
      <c r="OUO29" s="388"/>
      <c r="OUP29" s="388"/>
      <c r="OUQ29" s="388"/>
      <c r="OUR29" s="388"/>
      <c r="OUS29" s="388"/>
      <c r="OUT29" s="388"/>
      <c r="OUU29" s="388"/>
      <c r="OUV29" s="388"/>
      <c r="OUW29" s="388"/>
      <c r="OUX29" s="388"/>
      <c r="OUY29" s="388"/>
      <c r="OUZ29" s="388"/>
      <c r="OVA29" s="388"/>
      <c r="OVB29" s="388"/>
      <c r="OVC29" s="388"/>
      <c r="OVD29" s="388"/>
      <c r="OVE29" s="388"/>
      <c r="OVF29" s="388"/>
      <c r="OVG29" s="388"/>
      <c r="OVH29" s="388"/>
      <c r="OVI29" s="388"/>
      <c r="OVJ29" s="388"/>
      <c r="OVK29" s="388"/>
      <c r="OVL29" s="388"/>
      <c r="OVM29" s="388"/>
      <c r="OVN29" s="388"/>
      <c r="OVO29" s="388"/>
      <c r="OVP29" s="388"/>
      <c r="OVQ29" s="388"/>
      <c r="OVR29" s="388"/>
      <c r="OVS29" s="388"/>
      <c r="OVT29" s="388"/>
      <c r="OVU29" s="388"/>
      <c r="OVV29" s="388"/>
      <c r="OVW29" s="388"/>
      <c r="OVX29" s="388"/>
      <c r="OVY29" s="388"/>
      <c r="OVZ29" s="388"/>
      <c r="OWA29" s="388"/>
      <c r="OWB29" s="388"/>
      <c r="OWC29" s="388"/>
      <c r="OWD29" s="388"/>
      <c r="OWE29" s="388"/>
      <c r="OWF29" s="388"/>
      <c r="OWG29" s="388"/>
      <c r="OWH29" s="388"/>
      <c r="OWI29" s="388"/>
      <c r="OWJ29" s="388"/>
      <c r="OWK29" s="388"/>
      <c r="OWL29" s="388"/>
      <c r="OWM29" s="388"/>
      <c r="OWN29" s="388"/>
      <c r="OWO29" s="388"/>
      <c r="OWP29" s="388"/>
      <c r="OWQ29" s="388"/>
      <c r="OWR29" s="388"/>
      <c r="OWS29" s="388"/>
      <c r="OWT29" s="388"/>
      <c r="OWU29" s="388"/>
      <c r="OWV29" s="388"/>
      <c r="OWW29" s="388"/>
      <c r="OWX29" s="388"/>
      <c r="OWY29" s="388"/>
      <c r="OWZ29" s="388"/>
      <c r="OXA29" s="388"/>
      <c r="OXB29" s="388"/>
      <c r="OXC29" s="388"/>
      <c r="OXD29" s="388"/>
      <c r="OXE29" s="388"/>
      <c r="OXF29" s="388"/>
      <c r="OXG29" s="388"/>
      <c r="OXH29" s="388"/>
      <c r="OXI29" s="388"/>
      <c r="OXJ29" s="388"/>
      <c r="OXK29" s="388"/>
      <c r="OXL29" s="388"/>
      <c r="OXM29" s="388"/>
      <c r="OXN29" s="388"/>
      <c r="OXO29" s="388"/>
      <c r="OXP29" s="388"/>
      <c r="OXQ29" s="388"/>
      <c r="OXR29" s="388"/>
      <c r="OXS29" s="388"/>
      <c r="OXT29" s="388"/>
      <c r="OXU29" s="388"/>
      <c r="OXV29" s="388"/>
      <c r="OXW29" s="388"/>
      <c r="OXX29" s="388"/>
      <c r="OXY29" s="388"/>
      <c r="OXZ29" s="388"/>
      <c r="OYA29" s="388"/>
      <c r="OYB29" s="388"/>
      <c r="OYC29" s="388"/>
      <c r="OYD29" s="388"/>
      <c r="OYE29" s="388"/>
      <c r="OYF29" s="388"/>
      <c r="OYG29" s="388"/>
      <c r="OYH29" s="388"/>
      <c r="OYI29" s="388"/>
      <c r="OYJ29" s="388"/>
      <c r="OYK29" s="388"/>
      <c r="OYL29" s="388"/>
      <c r="OYM29" s="388"/>
      <c r="OYN29" s="388"/>
      <c r="OYO29" s="388"/>
      <c r="OYP29" s="388"/>
      <c r="OYQ29" s="388"/>
      <c r="OYR29" s="388"/>
      <c r="OYS29" s="388"/>
      <c r="OYT29" s="388"/>
      <c r="OYU29" s="388"/>
      <c r="OYV29" s="388"/>
      <c r="OYW29" s="388"/>
      <c r="OYX29" s="388"/>
      <c r="OYY29" s="388"/>
      <c r="OYZ29" s="388"/>
      <c r="OZA29" s="388"/>
      <c r="OZB29" s="388"/>
      <c r="OZC29" s="388"/>
      <c r="OZD29" s="388"/>
      <c r="OZE29" s="388"/>
      <c r="OZF29" s="388"/>
      <c r="OZG29" s="388"/>
      <c r="OZH29" s="388"/>
      <c r="OZI29" s="388"/>
      <c r="OZJ29" s="388"/>
      <c r="OZK29" s="388"/>
      <c r="OZL29" s="388"/>
      <c r="OZM29" s="388"/>
      <c r="OZN29" s="388"/>
      <c r="OZO29" s="388"/>
      <c r="OZP29" s="388"/>
      <c r="OZQ29" s="388"/>
      <c r="OZR29" s="388"/>
      <c r="OZS29" s="388"/>
      <c r="OZT29" s="388"/>
      <c r="OZU29" s="388"/>
      <c r="OZV29" s="388"/>
      <c r="OZW29" s="388"/>
      <c r="OZX29" s="388"/>
      <c r="OZY29" s="388"/>
      <c r="OZZ29" s="388"/>
      <c r="PAA29" s="388"/>
      <c r="PAB29" s="388"/>
      <c r="PAC29" s="388"/>
      <c r="PAD29" s="388"/>
      <c r="PAE29" s="388"/>
      <c r="PAF29" s="388"/>
      <c r="PAG29" s="388"/>
      <c r="PAH29" s="388"/>
      <c r="PAI29" s="388"/>
      <c r="PAJ29" s="388"/>
      <c r="PAK29" s="388"/>
      <c r="PAL29" s="388"/>
      <c r="PAM29" s="388"/>
      <c r="PAN29" s="388"/>
      <c r="PAO29" s="388"/>
      <c r="PAP29" s="388"/>
      <c r="PAQ29" s="388"/>
      <c r="PAR29" s="388"/>
      <c r="PAS29" s="388"/>
      <c r="PAT29" s="388"/>
      <c r="PAU29" s="388"/>
      <c r="PAV29" s="388"/>
      <c r="PAW29" s="388"/>
      <c r="PAX29" s="388"/>
      <c r="PAY29" s="388"/>
      <c r="PAZ29" s="388"/>
      <c r="PBA29" s="388"/>
      <c r="PBB29" s="388"/>
      <c r="PBC29" s="388"/>
      <c r="PBD29" s="388"/>
      <c r="PBE29" s="388"/>
      <c r="PBF29" s="388"/>
      <c r="PBG29" s="388"/>
      <c r="PBH29" s="388"/>
      <c r="PBI29" s="388"/>
      <c r="PBJ29" s="388"/>
      <c r="PBK29" s="388"/>
      <c r="PBL29" s="388"/>
      <c r="PBM29" s="388"/>
      <c r="PBN29" s="388"/>
      <c r="PBO29" s="388"/>
      <c r="PBP29" s="388"/>
      <c r="PBQ29" s="388"/>
      <c r="PBR29" s="388"/>
      <c r="PBS29" s="388"/>
      <c r="PBT29" s="388"/>
      <c r="PBU29" s="388"/>
      <c r="PBV29" s="388"/>
      <c r="PBW29" s="388"/>
      <c r="PBX29" s="388"/>
      <c r="PBY29" s="388"/>
      <c r="PBZ29" s="388"/>
      <c r="PCA29" s="388"/>
      <c r="PCB29" s="388"/>
      <c r="PCC29" s="388"/>
      <c r="PCD29" s="388"/>
      <c r="PCE29" s="388"/>
      <c r="PCF29" s="388"/>
      <c r="PCG29" s="388"/>
      <c r="PCH29" s="388"/>
      <c r="PCI29" s="388"/>
      <c r="PCJ29" s="388"/>
      <c r="PCK29" s="388"/>
      <c r="PCL29" s="388"/>
      <c r="PCM29" s="388"/>
      <c r="PCN29" s="388"/>
      <c r="PCO29" s="388"/>
      <c r="PCP29" s="388"/>
      <c r="PCQ29" s="388"/>
      <c r="PCR29" s="388"/>
      <c r="PCS29" s="388"/>
      <c r="PCT29" s="388"/>
      <c r="PCU29" s="388"/>
      <c r="PCV29" s="388"/>
      <c r="PCW29" s="388"/>
      <c r="PCX29" s="388"/>
      <c r="PCY29" s="388"/>
      <c r="PCZ29" s="388"/>
      <c r="PDA29" s="388"/>
      <c r="PDB29" s="388"/>
      <c r="PDC29" s="388"/>
      <c r="PDD29" s="388"/>
      <c r="PDE29" s="388"/>
      <c r="PDF29" s="388"/>
      <c r="PDG29" s="388"/>
      <c r="PDH29" s="388"/>
      <c r="PDI29" s="388"/>
      <c r="PDJ29" s="388"/>
      <c r="PDK29" s="388"/>
      <c r="PDL29" s="388"/>
      <c r="PDM29" s="388"/>
      <c r="PDN29" s="388"/>
      <c r="PDO29" s="388"/>
      <c r="PDP29" s="388"/>
      <c r="PDQ29" s="388"/>
      <c r="PDR29" s="388"/>
      <c r="PDS29" s="388"/>
      <c r="PDT29" s="388"/>
      <c r="PDU29" s="388"/>
      <c r="PDV29" s="388"/>
      <c r="PDW29" s="388"/>
      <c r="PDX29" s="388"/>
      <c r="PDY29" s="388"/>
      <c r="PDZ29" s="388"/>
      <c r="PEA29" s="388"/>
      <c r="PEB29" s="388"/>
      <c r="PEC29" s="388"/>
      <c r="PED29" s="388"/>
      <c r="PEE29" s="388"/>
      <c r="PEF29" s="388"/>
      <c r="PEG29" s="388"/>
      <c r="PEH29" s="388"/>
      <c r="PEI29" s="388"/>
      <c r="PEJ29" s="388"/>
      <c r="PEK29" s="388"/>
      <c r="PEL29" s="388"/>
      <c r="PEM29" s="388"/>
      <c r="PEN29" s="388"/>
      <c r="PEO29" s="388"/>
      <c r="PEP29" s="388"/>
      <c r="PEQ29" s="388"/>
      <c r="PER29" s="388"/>
      <c r="PES29" s="388"/>
      <c r="PET29" s="388"/>
      <c r="PEU29" s="388"/>
      <c r="PEV29" s="388"/>
      <c r="PEW29" s="388"/>
      <c r="PEX29" s="388"/>
      <c r="PEY29" s="388"/>
      <c r="PEZ29" s="388"/>
      <c r="PFA29" s="388"/>
      <c r="PFB29" s="388"/>
      <c r="PFC29" s="388"/>
      <c r="PFD29" s="388"/>
      <c r="PFE29" s="388"/>
      <c r="PFF29" s="388"/>
      <c r="PFG29" s="388"/>
      <c r="PFH29" s="388"/>
      <c r="PFI29" s="388"/>
      <c r="PFJ29" s="388"/>
      <c r="PFK29" s="388"/>
      <c r="PFL29" s="388"/>
      <c r="PFM29" s="388"/>
      <c r="PFN29" s="388"/>
      <c r="PFO29" s="388"/>
      <c r="PFP29" s="388"/>
      <c r="PFQ29" s="388"/>
      <c r="PFR29" s="388"/>
      <c r="PFS29" s="388"/>
      <c r="PFT29" s="388"/>
      <c r="PFU29" s="388"/>
      <c r="PFV29" s="388"/>
      <c r="PFW29" s="388"/>
      <c r="PFX29" s="388"/>
      <c r="PFY29" s="388"/>
      <c r="PFZ29" s="388"/>
      <c r="PGA29" s="388"/>
      <c r="PGB29" s="388"/>
      <c r="PGC29" s="388"/>
      <c r="PGD29" s="388"/>
      <c r="PGE29" s="388"/>
      <c r="PGF29" s="388"/>
      <c r="PGG29" s="388"/>
      <c r="PGH29" s="388"/>
      <c r="PGI29" s="388"/>
      <c r="PGJ29" s="388"/>
      <c r="PGK29" s="388"/>
      <c r="PGL29" s="388"/>
      <c r="PGM29" s="388"/>
      <c r="PGN29" s="388"/>
      <c r="PGO29" s="388"/>
      <c r="PGP29" s="388"/>
      <c r="PGQ29" s="388"/>
      <c r="PGR29" s="388"/>
      <c r="PGS29" s="388"/>
      <c r="PGT29" s="388"/>
      <c r="PGU29" s="388"/>
      <c r="PGV29" s="388"/>
      <c r="PGW29" s="388"/>
      <c r="PGX29" s="388"/>
      <c r="PGY29" s="388"/>
      <c r="PGZ29" s="388"/>
      <c r="PHA29" s="388"/>
      <c r="PHB29" s="388"/>
      <c r="PHC29" s="388"/>
      <c r="PHD29" s="388"/>
      <c r="PHE29" s="388"/>
      <c r="PHF29" s="388"/>
      <c r="PHG29" s="388"/>
      <c r="PHH29" s="388"/>
      <c r="PHI29" s="388"/>
      <c r="PHJ29" s="388"/>
      <c r="PHK29" s="388"/>
      <c r="PHL29" s="388"/>
      <c r="PHM29" s="388"/>
      <c r="PHN29" s="388"/>
      <c r="PHO29" s="388"/>
      <c r="PHP29" s="388"/>
      <c r="PHQ29" s="388"/>
      <c r="PHR29" s="388"/>
      <c r="PHS29" s="388"/>
      <c r="PHT29" s="388"/>
      <c r="PHU29" s="388"/>
      <c r="PHV29" s="388"/>
      <c r="PHW29" s="388"/>
      <c r="PHX29" s="388"/>
      <c r="PHY29" s="388"/>
      <c r="PHZ29" s="388"/>
      <c r="PIA29" s="388"/>
      <c r="PIB29" s="388"/>
      <c r="PIC29" s="388"/>
      <c r="PID29" s="388"/>
      <c r="PIE29" s="388"/>
      <c r="PIF29" s="388"/>
      <c r="PIG29" s="388"/>
      <c r="PIH29" s="388"/>
      <c r="PII29" s="388"/>
      <c r="PIJ29" s="388"/>
      <c r="PIK29" s="388"/>
      <c r="PIL29" s="388"/>
      <c r="PIM29" s="388"/>
      <c r="PIN29" s="388"/>
      <c r="PIO29" s="388"/>
      <c r="PIP29" s="388"/>
      <c r="PIQ29" s="388"/>
      <c r="PIR29" s="388"/>
      <c r="PIS29" s="388"/>
      <c r="PIT29" s="388"/>
      <c r="PIU29" s="388"/>
      <c r="PIV29" s="388"/>
      <c r="PIW29" s="388"/>
      <c r="PIX29" s="388"/>
      <c r="PIY29" s="388"/>
      <c r="PIZ29" s="388"/>
      <c r="PJA29" s="388"/>
      <c r="PJB29" s="388"/>
      <c r="PJC29" s="388"/>
      <c r="PJD29" s="388"/>
      <c r="PJE29" s="388"/>
      <c r="PJF29" s="388"/>
      <c r="PJG29" s="388"/>
      <c r="PJH29" s="388"/>
      <c r="PJI29" s="388"/>
      <c r="PJJ29" s="388"/>
      <c r="PJK29" s="388"/>
      <c r="PJL29" s="388"/>
      <c r="PJM29" s="388"/>
      <c r="PJN29" s="388"/>
      <c r="PJO29" s="388"/>
      <c r="PJP29" s="388"/>
      <c r="PJQ29" s="388"/>
      <c r="PJR29" s="388"/>
      <c r="PJS29" s="388"/>
      <c r="PJT29" s="388"/>
      <c r="PJU29" s="388"/>
      <c r="PJV29" s="388"/>
      <c r="PJW29" s="388"/>
      <c r="PJX29" s="388"/>
      <c r="PJY29" s="388"/>
      <c r="PJZ29" s="388"/>
      <c r="PKA29" s="388"/>
      <c r="PKB29" s="388"/>
      <c r="PKC29" s="388"/>
      <c r="PKD29" s="388"/>
      <c r="PKE29" s="388"/>
      <c r="PKF29" s="388"/>
      <c r="PKG29" s="388"/>
      <c r="PKH29" s="388"/>
      <c r="PKI29" s="388"/>
      <c r="PKJ29" s="388"/>
      <c r="PKK29" s="388"/>
      <c r="PKL29" s="388"/>
      <c r="PKM29" s="388"/>
      <c r="PKN29" s="388"/>
      <c r="PKO29" s="388"/>
      <c r="PKP29" s="388"/>
      <c r="PKQ29" s="388"/>
      <c r="PKR29" s="388"/>
      <c r="PKS29" s="388"/>
      <c r="PKT29" s="388"/>
      <c r="PKU29" s="388"/>
      <c r="PKV29" s="388"/>
      <c r="PKW29" s="388"/>
      <c r="PKX29" s="388"/>
      <c r="PKY29" s="388"/>
      <c r="PKZ29" s="388"/>
      <c r="PLA29" s="388"/>
      <c r="PLB29" s="388"/>
      <c r="PLC29" s="388"/>
      <c r="PLD29" s="388"/>
      <c r="PLE29" s="388"/>
      <c r="PLF29" s="388"/>
      <c r="PLG29" s="388"/>
      <c r="PLH29" s="388"/>
      <c r="PLI29" s="388"/>
      <c r="PLJ29" s="388"/>
      <c r="PLK29" s="388"/>
      <c r="PLL29" s="388"/>
      <c r="PLM29" s="388"/>
      <c r="PLN29" s="388"/>
      <c r="PLO29" s="388"/>
      <c r="PLP29" s="388"/>
      <c r="PLQ29" s="388"/>
      <c r="PLR29" s="388"/>
      <c r="PLS29" s="388"/>
      <c r="PLT29" s="388"/>
      <c r="PLU29" s="388"/>
      <c r="PLV29" s="388"/>
      <c r="PLW29" s="388"/>
      <c r="PLX29" s="388"/>
      <c r="PLY29" s="388"/>
      <c r="PLZ29" s="388"/>
      <c r="PMA29" s="388"/>
      <c r="PMB29" s="388"/>
      <c r="PMC29" s="388"/>
      <c r="PMD29" s="388"/>
      <c r="PME29" s="388"/>
      <c r="PMF29" s="388"/>
      <c r="PMG29" s="388"/>
      <c r="PMH29" s="388"/>
      <c r="PMI29" s="388"/>
      <c r="PMJ29" s="388"/>
      <c r="PMK29" s="388"/>
      <c r="PML29" s="388"/>
      <c r="PMM29" s="388"/>
      <c r="PMN29" s="388"/>
      <c r="PMO29" s="388"/>
      <c r="PMP29" s="388"/>
      <c r="PMQ29" s="388"/>
      <c r="PMR29" s="388"/>
      <c r="PMS29" s="388"/>
      <c r="PMT29" s="388"/>
      <c r="PMU29" s="388"/>
      <c r="PMV29" s="388"/>
      <c r="PMW29" s="388"/>
      <c r="PMX29" s="388"/>
      <c r="PMY29" s="388"/>
      <c r="PMZ29" s="388"/>
      <c r="PNA29" s="388"/>
      <c r="PNB29" s="388"/>
      <c r="PNC29" s="388"/>
      <c r="PND29" s="388"/>
      <c r="PNE29" s="388"/>
      <c r="PNF29" s="388"/>
      <c r="PNG29" s="388"/>
      <c r="PNH29" s="388"/>
      <c r="PNI29" s="388"/>
      <c r="PNJ29" s="388"/>
      <c r="PNK29" s="388"/>
      <c r="PNL29" s="388"/>
      <c r="PNM29" s="388"/>
      <c r="PNN29" s="388"/>
      <c r="PNO29" s="388"/>
      <c r="PNP29" s="388"/>
      <c r="PNQ29" s="388"/>
      <c r="PNR29" s="388"/>
      <c r="PNS29" s="388"/>
      <c r="PNT29" s="388"/>
      <c r="PNU29" s="388"/>
      <c r="PNV29" s="388"/>
      <c r="PNW29" s="388"/>
      <c r="PNX29" s="388"/>
      <c r="PNY29" s="388"/>
      <c r="PNZ29" s="388"/>
      <c r="POA29" s="388"/>
      <c r="POB29" s="388"/>
      <c r="POC29" s="388"/>
      <c r="POD29" s="388"/>
      <c r="POE29" s="388"/>
      <c r="POF29" s="388"/>
      <c r="POG29" s="388"/>
      <c r="POH29" s="388"/>
      <c r="POI29" s="388"/>
      <c r="POJ29" s="388"/>
      <c r="POK29" s="388"/>
      <c r="POL29" s="388"/>
      <c r="POM29" s="388"/>
      <c r="PON29" s="388"/>
      <c r="POO29" s="388"/>
      <c r="POP29" s="388"/>
      <c r="POQ29" s="388"/>
      <c r="POR29" s="388"/>
      <c r="POS29" s="388"/>
      <c r="POT29" s="388"/>
      <c r="POU29" s="388"/>
      <c r="POV29" s="388"/>
      <c r="POW29" s="388"/>
      <c r="POX29" s="388"/>
      <c r="POY29" s="388"/>
      <c r="POZ29" s="388"/>
      <c r="PPA29" s="388"/>
      <c r="PPB29" s="388"/>
      <c r="PPC29" s="388"/>
      <c r="PPD29" s="388"/>
      <c r="PPE29" s="388"/>
      <c r="PPF29" s="388"/>
      <c r="PPG29" s="388"/>
      <c r="PPH29" s="388"/>
      <c r="PPI29" s="388"/>
      <c r="PPJ29" s="388"/>
      <c r="PPK29" s="388"/>
      <c r="PPL29" s="388"/>
      <c r="PPM29" s="388"/>
      <c r="PPN29" s="388"/>
      <c r="PPO29" s="388"/>
      <c r="PPP29" s="388"/>
      <c r="PPQ29" s="388"/>
      <c r="PPR29" s="388"/>
      <c r="PPS29" s="388"/>
      <c r="PPT29" s="388"/>
      <c r="PPU29" s="388"/>
      <c r="PPV29" s="388"/>
      <c r="PPW29" s="388"/>
      <c r="PPX29" s="388"/>
      <c r="PPY29" s="388"/>
      <c r="PPZ29" s="388"/>
      <c r="PQA29" s="388"/>
      <c r="PQB29" s="388"/>
      <c r="PQC29" s="388"/>
      <c r="PQD29" s="388"/>
      <c r="PQE29" s="388"/>
      <c r="PQF29" s="388"/>
      <c r="PQG29" s="388"/>
      <c r="PQH29" s="388"/>
      <c r="PQI29" s="388"/>
      <c r="PQJ29" s="388"/>
      <c r="PQK29" s="388"/>
      <c r="PQL29" s="388"/>
      <c r="PQM29" s="388"/>
      <c r="PQN29" s="388"/>
      <c r="PQO29" s="388"/>
      <c r="PQP29" s="388"/>
      <c r="PQQ29" s="388"/>
      <c r="PQR29" s="388"/>
      <c r="PQS29" s="388"/>
      <c r="PQT29" s="388"/>
      <c r="PQU29" s="388"/>
      <c r="PQV29" s="388"/>
      <c r="PQW29" s="388"/>
      <c r="PQX29" s="388"/>
      <c r="PQY29" s="388"/>
      <c r="PQZ29" s="388"/>
      <c r="PRA29" s="388"/>
      <c r="PRB29" s="388"/>
      <c r="PRC29" s="388"/>
      <c r="PRD29" s="388"/>
      <c r="PRE29" s="388"/>
      <c r="PRF29" s="388"/>
      <c r="PRG29" s="388"/>
      <c r="PRH29" s="388"/>
      <c r="PRI29" s="388"/>
      <c r="PRJ29" s="388"/>
      <c r="PRK29" s="388"/>
      <c r="PRL29" s="388"/>
      <c r="PRM29" s="388"/>
      <c r="PRN29" s="388"/>
      <c r="PRO29" s="388"/>
      <c r="PRP29" s="388"/>
      <c r="PRQ29" s="388"/>
      <c r="PRR29" s="388"/>
      <c r="PRS29" s="388"/>
      <c r="PRT29" s="388"/>
      <c r="PRU29" s="388"/>
      <c r="PRV29" s="388"/>
      <c r="PRW29" s="388"/>
      <c r="PRX29" s="388"/>
      <c r="PRY29" s="388"/>
      <c r="PRZ29" s="388"/>
      <c r="PSA29" s="388"/>
      <c r="PSB29" s="388"/>
      <c r="PSC29" s="388"/>
      <c r="PSD29" s="388"/>
      <c r="PSE29" s="388"/>
      <c r="PSF29" s="388"/>
      <c r="PSG29" s="388"/>
      <c r="PSH29" s="388"/>
      <c r="PSI29" s="388"/>
      <c r="PSJ29" s="388"/>
      <c r="PSK29" s="388"/>
      <c r="PSL29" s="388"/>
      <c r="PSM29" s="388"/>
      <c r="PSN29" s="388"/>
      <c r="PSO29" s="388"/>
      <c r="PSP29" s="388"/>
      <c r="PSQ29" s="388"/>
      <c r="PSR29" s="388"/>
      <c r="PSS29" s="388"/>
      <c r="PST29" s="388"/>
      <c r="PSU29" s="388"/>
      <c r="PSV29" s="388"/>
      <c r="PSW29" s="388"/>
      <c r="PSX29" s="388"/>
      <c r="PSY29" s="388"/>
      <c r="PSZ29" s="388"/>
      <c r="PTA29" s="388"/>
      <c r="PTB29" s="388"/>
      <c r="PTC29" s="388"/>
      <c r="PTD29" s="388"/>
      <c r="PTE29" s="388"/>
      <c r="PTF29" s="388"/>
      <c r="PTG29" s="388"/>
      <c r="PTH29" s="388"/>
      <c r="PTI29" s="388"/>
      <c r="PTJ29" s="388"/>
      <c r="PTK29" s="388"/>
      <c r="PTL29" s="388"/>
      <c r="PTM29" s="388"/>
      <c r="PTN29" s="388"/>
      <c r="PTO29" s="388"/>
      <c r="PTP29" s="388"/>
      <c r="PTQ29" s="388"/>
      <c r="PTR29" s="388"/>
      <c r="PTS29" s="388"/>
      <c r="PTT29" s="388"/>
      <c r="PTU29" s="388"/>
      <c r="PTV29" s="388"/>
      <c r="PTW29" s="388"/>
      <c r="PTX29" s="388"/>
      <c r="PTY29" s="388"/>
      <c r="PTZ29" s="388"/>
      <c r="PUA29" s="388"/>
      <c r="PUB29" s="388"/>
      <c r="PUC29" s="388"/>
      <c r="PUD29" s="388"/>
      <c r="PUE29" s="388"/>
      <c r="PUF29" s="388"/>
      <c r="PUG29" s="388"/>
      <c r="PUH29" s="388"/>
      <c r="PUI29" s="388"/>
      <c r="PUJ29" s="388"/>
      <c r="PUK29" s="388"/>
      <c r="PUL29" s="388"/>
      <c r="PUM29" s="388"/>
      <c r="PUN29" s="388"/>
      <c r="PUO29" s="388"/>
      <c r="PUP29" s="388"/>
      <c r="PUQ29" s="388"/>
      <c r="PUR29" s="388"/>
      <c r="PUS29" s="388"/>
      <c r="PUT29" s="388"/>
      <c r="PUU29" s="388"/>
      <c r="PUV29" s="388"/>
      <c r="PUW29" s="388"/>
      <c r="PUX29" s="388"/>
      <c r="PUY29" s="388"/>
      <c r="PUZ29" s="388"/>
      <c r="PVA29" s="388"/>
      <c r="PVB29" s="388"/>
      <c r="PVC29" s="388"/>
      <c r="PVD29" s="388"/>
      <c r="PVE29" s="388"/>
      <c r="PVF29" s="388"/>
      <c r="PVG29" s="388"/>
      <c r="PVH29" s="388"/>
      <c r="PVI29" s="388"/>
      <c r="PVJ29" s="388"/>
      <c r="PVK29" s="388"/>
      <c r="PVL29" s="388"/>
      <c r="PVM29" s="388"/>
      <c r="PVN29" s="388"/>
      <c r="PVO29" s="388"/>
      <c r="PVP29" s="388"/>
      <c r="PVQ29" s="388"/>
      <c r="PVR29" s="388"/>
      <c r="PVS29" s="388"/>
      <c r="PVT29" s="388"/>
      <c r="PVU29" s="388"/>
      <c r="PVV29" s="388"/>
      <c r="PVW29" s="388"/>
      <c r="PVX29" s="388"/>
      <c r="PVY29" s="388"/>
      <c r="PVZ29" s="388"/>
      <c r="PWA29" s="388"/>
      <c r="PWB29" s="388"/>
      <c r="PWC29" s="388"/>
      <c r="PWD29" s="388"/>
      <c r="PWE29" s="388"/>
      <c r="PWF29" s="388"/>
      <c r="PWG29" s="388"/>
      <c r="PWH29" s="388"/>
      <c r="PWI29" s="388"/>
      <c r="PWJ29" s="388"/>
      <c r="PWK29" s="388"/>
      <c r="PWL29" s="388"/>
      <c r="PWM29" s="388"/>
      <c r="PWN29" s="388"/>
      <c r="PWO29" s="388"/>
      <c r="PWP29" s="388"/>
      <c r="PWQ29" s="388"/>
      <c r="PWR29" s="388"/>
      <c r="PWS29" s="388"/>
      <c r="PWT29" s="388"/>
      <c r="PWU29" s="388"/>
      <c r="PWV29" s="388"/>
      <c r="PWW29" s="388"/>
      <c r="PWX29" s="388"/>
      <c r="PWY29" s="388"/>
      <c r="PWZ29" s="388"/>
      <c r="PXA29" s="388"/>
      <c r="PXB29" s="388"/>
      <c r="PXC29" s="388"/>
      <c r="PXD29" s="388"/>
      <c r="PXE29" s="388"/>
      <c r="PXF29" s="388"/>
      <c r="PXG29" s="388"/>
      <c r="PXH29" s="388"/>
      <c r="PXI29" s="388"/>
      <c r="PXJ29" s="388"/>
      <c r="PXK29" s="388"/>
      <c r="PXL29" s="388"/>
      <c r="PXM29" s="388"/>
      <c r="PXN29" s="388"/>
      <c r="PXO29" s="388"/>
      <c r="PXP29" s="388"/>
      <c r="PXQ29" s="388"/>
      <c r="PXR29" s="388"/>
      <c r="PXS29" s="388"/>
      <c r="PXT29" s="388"/>
      <c r="PXU29" s="388"/>
      <c r="PXV29" s="388"/>
      <c r="PXW29" s="388"/>
      <c r="PXX29" s="388"/>
      <c r="PXY29" s="388"/>
      <c r="PXZ29" s="388"/>
      <c r="PYA29" s="388"/>
      <c r="PYB29" s="388"/>
      <c r="PYC29" s="388"/>
      <c r="PYD29" s="388"/>
      <c r="PYE29" s="388"/>
      <c r="PYF29" s="388"/>
      <c r="PYG29" s="388"/>
      <c r="PYH29" s="388"/>
      <c r="PYI29" s="388"/>
      <c r="PYJ29" s="388"/>
      <c r="PYK29" s="388"/>
      <c r="PYL29" s="388"/>
      <c r="PYM29" s="388"/>
      <c r="PYN29" s="388"/>
      <c r="PYO29" s="388"/>
      <c r="PYP29" s="388"/>
      <c r="PYQ29" s="388"/>
      <c r="PYR29" s="388"/>
      <c r="PYS29" s="388"/>
      <c r="PYT29" s="388"/>
      <c r="PYU29" s="388"/>
      <c r="PYV29" s="388"/>
      <c r="PYW29" s="388"/>
      <c r="PYX29" s="388"/>
      <c r="PYY29" s="388"/>
      <c r="PYZ29" s="388"/>
      <c r="PZA29" s="388"/>
      <c r="PZB29" s="388"/>
      <c r="PZC29" s="388"/>
      <c r="PZD29" s="388"/>
      <c r="PZE29" s="388"/>
      <c r="PZF29" s="388"/>
      <c r="PZG29" s="388"/>
      <c r="PZH29" s="388"/>
      <c r="PZI29" s="388"/>
      <c r="PZJ29" s="388"/>
      <c r="PZK29" s="388"/>
      <c r="PZL29" s="388"/>
      <c r="PZM29" s="388"/>
      <c r="PZN29" s="388"/>
      <c r="PZO29" s="388"/>
      <c r="PZP29" s="388"/>
      <c r="PZQ29" s="388"/>
      <c r="PZR29" s="388"/>
      <c r="PZS29" s="388"/>
      <c r="PZT29" s="388"/>
      <c r="PZU29" s="388"/>
      <c r="PZV29" s="388"/>
      <c r="PZW29" s="388"/>
      <c r="PZX29" s="388"/>
      <c r="PZY29" s="388"/>
      <c r="PZZ29" s="388"/>
      <c r="QAA29" s="388"/>
      <c r="QAB29" s="388"/>
      <c r="QAC29" s="388"/>
      <c r="QAD29" s="388"/>
      <c r="QAE29" s="388"/>
      <c r="QAF29" s="388"/>
      <c r="QAG29" s="388"/>
      <c r="QAH29" s="388"/>
      <c r="QAI29" s="388"/>
      <c r="QAJ29" s="388"/>
      <c r="QAK29" s="388"/>
      <c r="QAL29" s="388"/>
      <c r="QAM29" s="388"/>
      <c r="QAN29" s="388"/>
      <c r="QAO29" s="388"/>
      <c r="QAP29" s="388"/>
      <c r="QAQ29" s="388"/>
      <c r="QAR29" s="388"/>
      <c r="QAS29" s="388"/>
      <c r="QAT29" s="388"/>
      <c r="QAU29" s="388"/>
      <c r="QAV29" s="388"/>
      <c r="QAW29" s="388"/>
      <c r="QAX29" s="388"/>
      <c r="QAY29" s="388"/>
      <c r="QAZ29" s="388"/>
      <c r="QBA29" s="388"/>
      <c r="QBB29" s="388"/>
      <c r="QBC29" s="388"/>
      <c r="QBD29" s="388"/>
      <c r="QBE29" s="388"/>
      <c r="QBF29" s="388"/>
      <c r="QBG29" s="388"/>
      <c r="QBH29" s="388"/>
      <c r="QBI29" s="388"/>
      <c r="QBJ29" s="388"/>
      <c r="QBK29" s="388"/>
      <c r="QBL29" s="388"/>
      <c r="QBM29" s="388"/>
      <c r="QBN29" s="388"/>
      <c r="QBO29" s="388"/>
      <c r="QBP29" s="388"/>
      <c r="QBQ29" s="388"/>
      <c r="QBR29" s="388"/>
      <c r="QBS29" s="388"/>
      <c r="QBT29" s="388"/>
      <c r="QBU29" s="388"/>
      <c r="QBV29" s="388"/>
      <c r="QBW29" s="388"/>
      <c r="QBX29" s="388"/>
      <c r="QBY29" s="388"/>
      <c r="QBZ29" s="388"/>
      <c r="QCA29" s="388"/>
      <c r="QCB29" s="388"/>
      <c r="QCC29" s="388"/>
      <c r="QCD29" s="388"/>
      <c r="QCE29" s="388"/>
      <c r="QCF29" s="388"/>
      <c r="QCG29" s="388"/>
      <c r="QCH29" s="388"/>
      <c r="QCI29" s="388"/>
      <c r="QCJ29" s="388"/>
      <c r="QCK29" s="388"/>
      <c r="QCL29" s="388"/>
      <c r="QCM29" s="388"/>
      <c r="QCN29" s="388"/>
      <c r="QCO29" s="388"/>
      <c r="QCP29" s="388"/>
      <c r="QCQ29" s="388"/>
      <c r="QCR29" s="388"/>
      <c r="QCS29" s="388"/>
      <c r="QCT29" s="388"/>
      <c r="QCU29" s="388"/>
      <c r="QCV29" s="388"/>
      <c r="QCW29" s="388"/>
      <c r="QCX29" s="388"/>
      <c r="QCY29" s="388"/>
      <c r="QCZ29" s="388"/>
      <c r="QDA29" s="388"/>
      <c r="QDB29" s="388"/>
      <c r="QDC29" s="388"/>
      <c r="QDD29" s="388"/>
      <c r="QDE29" s="388"/>
      <c r="QDF29" s="388"/>
      <c r="QDG29" s="388"/>
      <c r="QDH29" s="388"/>
      <c r="QDI29" s="388"/>
      <c r="QDJ29" s="388"/>
      <c r="QDK29" s="388"/>
      <c r="QDL29" s="388"/>
      <c r="QDM29" s="388"/>
      <c r="QDN29" s="388"/>
      <c r="QDO29" s="388"/>
      <c r="QDP29" s="388"/>
      <c r="QDQ29" s="388"/>
      <c r="QDR29" s="388"/>
      <c r="QDS29" s="388"/>
      <c r="QDT29" s="388"/>
      <c r="QDU29" s="388"/>
      <c r="QDV29" s="388"/>
      <c r="QDW29" s="388"/>
      <c r="QDX29" s="388"/>
      <c r="QDY29" s="388"/>
      <c r="QDZ29" s="388"/>
      <c r="QEA29" s="388"/>
      <c r="QEB29" s="388"/>
      <c r="QEC29" s="388"/>
      <c r="QED29" s="388"/>
      <c r="QEE29" s="388"/>
      <c r="QEF29" s="388"/>
      <c r="QEG29" s="388"/>
      <c r="QEH29" s="388"/>
      <c r="QEI29" s="388"/>
      <c r="QEJ29" s="388"/>
      <c r="QEK29" s="388"/>
      <c r="QEL29" s="388"/>
      <c r="QEM29" s="388"/>
      <c r="QEN29" s="388"/>
      <c r="QEO29" s="388"/>
      <c r="QEP29" s="388"/>
      <c r="QEQ29" s="388"/>
      <c r="QER29" s="388"/>
      <c r="QES29" s="388"/>
      <c r="QET29" s="388"/>
      <c r="QEU29" s="388"/>
      <c r="QEV29" s="388"/>
      <c r="QEW29" s="388"/>
      <c r="QEX29" s="388"/>
      <c r="QEY29" s="388"/>
      <c r="QEZ29" s="388"/>
      <c r="QFA29" s="388"/>
      <c r="QFB29" s="388"/>
      <c r="QFC29" s="388"/>
      <c r="QFD29" s="388"/>
      <c r="QFE29" s="388"/>
      <c r="QFF29" s="388"/>
      <c r="QFG29" s="388"/>
      <c r="QFH29" s="388"/>
      <c r="QFI29" s="388"/>
      <c r="QFJ29" s="388"/>
      <c r="QFK29" s="388"/>
      <c r="QFL29" s="388"/>
      <c r="QFM29" s="388"/>
      <c r="QFN29" s="388"/>
      <c r="QFO29" s="388"/>
      <c r="QFP29" s="388"/>
      <c r="QFQ29" s="388"/>
      <c r="QFR29" s="388"/>
      <c r="QFS29" s="388"/>
      <c r="QFT29" s="388"/>
      <c r="QFU29" s="388"/>
      <c r="QFV29" s="388"/>
      <c r="QFW29" s="388"/>
      <c r="QFX29" s="388"/>
      <c r="QFY29" s="388"/>
      <c r="QFZ29" s="388"/>
      <c r="QGA29" s="388"/>
      <c r="QGB29" s="388"/>
      <c r="QGC29" s="388"/>
      <c r="QGD29" s="388"/>
      <c r="QGE29" s="388"/>
      <c r="QGF29" s="388"/>
      <c r="QGG29" s="388"/>
      <c r="QGH29" s="388"/>
      <c r="QGI29" s="388"/>
      <c r="QGJ29" s="388"/>
      <c r="QGK29" s="388"/>
      <c r="QGL29" s="388"/>
      <c r="QGM29" s="388"/>
      <c r="QGN29" s="388"/>
      <c r="QGO29" s="388"/>
      <c r="QGP29" s="388"/>
      <c r="QGQ29" s="388"/>
      <c r="QGR29" s="388"/>
      <c r="QGS29" s="388"/>
      <c r="QGT29" s="388"/>
      <c r="QGU29" s="388"/>
      <c r="QGV29" s="388"/>
      <c r="QGW29" s="388"/>
      <c r="QGX29" s="388"/>
      <c r="QGY29" s="388"/>
      <c r="QGZ29" s="388"/>
      <c r="QHA29" s="388"/>
      <c r="QHB29" s="388"/>
      <c r="QHC29" s="388"/>
      <c r="QHD29" s="388"/>
      <c r="QHE29" s="388"/>
      <c r="QHF29" s="388"/>
      <c r="QHG29" s="388"/>
      <c r="QHH29" s="388"/>
      <c r="QHI29" s="388"/>
      <c r="QHJ29" s="388"/>
      <c r="QHK29" s="388"/>
      <c r="QHL29" s="388"/>
      <c r="QHM29" s="388"/>
      <c r="QHN29" s="388"/>
      <c r="QHO29" s="388"/>
      <c r="QHP29" s="388"/>
      <c r="QHQ29" s="388"/>
      <c r="QHR29" s="388"/>
      <c r="QHS29" s="388"/>
      <c r="QHT29" s="388"/>
      <c r="QHU29" s="388"/>
      <c r="QHV29" s="388"/>
      <c r="QHW29" s="388"/>
      <c r="QHX29" s="388"/>
      <c r="QHY29" s="388"/>
      <c r="QHZ29" s="388"/>
      <c r="QIA29" s="388"/>
      <c r="QIB29" s="388"/>
      <c r="QIC29" s="388"/>
      <c r="QID29" s="388"/>
      <c r="QIE29" s="388"/>
      <c r="QIF29" s="388"/>
      <c r="QIG29" s="388"/>
      <c r="QIH29" s="388"/>
      <c r="QII29" s="388"/>
      <c r="QIJ29" s="388"/>
      <c r="QIK29" s="388"/>
      <c r="QIL29" s="388"/>
      <c r="QIM29" s="388"/>
      <c r="QIN29" s="388"/>
      <c r="QIO29" s="388"/>
      <c r="QIP29" s="388"/>
      <c r="QIQ29" s="388"/>
      <c r="QIR29" s="388"/>
      <c r="QIS29" s="388"/>
      <c r="QIT29" s="388"/>
      <c r="QIU29" s="388"/>
      <c r="QIV29" s="388"/>
      <c r="QIW29" s="388"/>
      <c r="QIX29" s="388"/>
      <c r="QIY29" s="388"/>
      <c r="QIZ29" s="388"/>
      <c r="QJA29" s="388"/>
      <c r="QJB29" s="388"/>
      <c r="QJC29" s="388"/>
      <c r="QJD29" s="388"/>
      <c r="QJE29" s="388"/>
      <c r="QJF29" s="388"/>
      <c r="QJG29" s="388"/>
      <c r="QJH29" s="388"/>
      <c r="QJI29" s="388"/>
      <c r="QJJ29" s="388"/>
      <c r="QJK29" s="388"/>
      <c r="QJL29" s="388"/>
      <c r="QJM29" s="388"/>
      <c r="QJN29" s="388"/>
      <c r="QJO29" s="388"/>
      <c r="QJP29" s="388"/>
      <c r="QJQ29" s="388"/>
      <c r="QJR29" s="388"/>
      <c r="QJS29" s="388"/>
      <c r="QJT29" s="388"/>
      <c r="QJU29" s="388"/>
      <c r="QJV29" s="388"/>
      <c r="QJW29" s="388"/>
      <c r="QJX29" s="388"/>
      <c r="QJY29" s="388"/>
      <c r="QJZ29" s="388"/>
      <c r="QKA29" s="388"/>
      <c r="QKB29" s="388"/>
      <c r="QKC29" s="388"/>
      <c r="QKD29" s="388"/>
      <c r="QKE29" s="388"/>
      <c r="QKF29" s="388"/>
      <c r="QKG29" s="388"/>
      <c r="QKH29" s="388"/>
      <c r="QKI29" s="388"/>
      <c r="QKJ29" s="388"/>
      <c r="QKK29" s="388"/>
      <c r="QKL29" s="388"/>
      <c r="QKM29" s="388"/>
      <c r="QKN29" s="388"/>
      <c r="QKO29" s="388"/>
      <c r="QKP29" s="388"/>
      <c r="QKQ29" s="388"/>
      <c r="QKR29" s="388"/>
      <c r="QKS29" s="388"/>
      <c r="QKT29" s="388"/>
      <c r="QKU29" s="388"/>
      <c r="QKV29" s="388"/>
      <c r="QKW29" s="388"/>
      <c r="QKX29" s="388"/>
      <c r="QKY29" s="388"/>
      <c r="QKZ29" s="388"/>
      <c r="QLA29" s="388"/>
      <c r="QLB29" s="388"/>
      <c r="QLC29" s="388"/>
      <c r="QLD29" s="388"/>
      <c r="QLE29" s="388"/>
      <c r="QLF29" s="388"/>
      <c r="QLG29" s="388"/>
      <c r="QLH29" s="388"/>
      <c r="QLI29" s="388"/>
      <c r="QLJ29" s="388"/>
      <c r="QLK29" s="388"/>
      <c r="QLL29" s="388"/>
      <c r="QLM29" s="388"/>
      <c r="QLN29" s="388"/>
      <c r="QLO29" s="388"/>
      <c r="QLP29" s="388"/>
      <c r="QLQ29" s="388"/>
      <c r="QLR29" s="388"/>
      <c r="QLS29" s="388"/>
      <c r="QLT29" s="388"/>
      <c r="QLU29" s="388"/>
      <c r="QLV29" s="388"/>
      <c r="QLW29" s="388"/>
      <c r="QLX29" s="388"/>
      <c r="QLY29" s="388"/>
      <c r="QLZ29" s="388"/>
      <c r="QMA29" s="388"/>
      <c r="QMB29" s="388"/>
      <c r="QMC29" s="388"/>
      <c r="QMD29" s="388"/>
      <c r="QME29" s="388"/>
      <c r="QMF29" s="388"/>
      <c r="QMG29" s="388"/>
      <c r="QMH29" s="388"/>
      <c r="QMI29" s="388"/>
      <c r="QMJ29" s="388"/>
      <c r="QMK29" s="388"/>
      <c r="QML29" s="388"/>
      <c r="QMM29" s="388"/>
      <c r="QMN29" s="388"/>
      <c r="QMO29" s="388"/>
      <c r="QMP29" s="388"/>
      <c r="QMQ29" s="388"/>
      <c r="QMR29" s="388"/>
      <c r="QMS29" s="388"/>
      <c r="QMT29" s="388"/>
      <c r="QMU29" s="388"/>
      <c r="QMV29" s="388"/>
      <c r="QMW29" s="388"/>
      <c r="QMX29" s="388"/>
      <c r="QMY29" s="388"/>
      <c r="QMZ29" s="388"/>
      <c r="QNA29" s="388"/>
      <c r="QNB29" s="388"/>
      <c r="QNC29" s="388"/>
      <c r="QND29" s="388"/>
      <c r="QNE29" s="388"/>
      <c r="QNF29" s="388"/>
      <c r="QNG29" s="388"/>
      <c r="QNH29" s="388"/>
      <c r="QNI29" s="388"/>
      <c r="QNJ29" s="388"/>
      <c r="QNK29" s="388"/>
      <c r="QNL29" s="388"/>
      <c r="QNM29" s="388"/>
      <c r="QNN29" s="388"/>
      <c r="QNO29" s="388"/>
      <c r="QNP29" s="388"/>
      <c r="QNQ29" s="388"/>
      <c r="QNR29" s="388"/>
      <c r="QNS29" s="388"/>
      <c r="QNT29" s="388"/>
      <c r="QNU29" s="388"/>
      <c r="QNV29" s="388"/>
      <c r="QNW29" s="388"/>
      <c r="QNX29" s="388"/>
      <c r="QNY29" s="388"/>
      <c r="QNZ29" s="388"/>
      <c r="QOA29" s="388"/>
      <c r="QOB29" s="388"/>
      <c r="QOC29" s="388"/>
      <c r="QOD29" s="388"/>
      <c r="QOE29" s="388"/>
      <c r="QOF29" s="388"/>
      <c r="QOG29" s="388"/>
      <c r="QOH29" s="388"/>
      <c r="QOI29" s="388"/>
      <c r="QOJ29" s="388"/>
      <c r="QOK29" s="388"/>
      <c r="QOL29" s="388"/>
      <c r="QOM29" s="388"/>
      <c r="QON29" s="388"/>
      <c r="QOO29" s="388"/>
      <c r="QOP29" s="388"/>
      <c r="QOQ29" s="388"/>
      <c r="QOR29" s="388"/>
      <c r="QOS29" s="388"/>
      <c r="QOT29" s="388"/>
      <c r="QOU29" s="388"/>
      <c r="QOV29" s="388"/>
      <c r="QOW29" s="388"/>
      <c r="QOX29" s="388"/>
      <c r="QOY29" s="388"/>
      <c r="QOZ29" s="388"/>
      <c r="QPA29" s="388"/>
      <c r="QPB29" s="388"/>
      <c r="QPC29" s="388"/>
      <c r="QPD29" s="388"/>
      <c r="QPE29" s="388"/>
      <c r="QPF29" s="388"/>
      <c r="QPG29" s="388"/>
      <c r="QPH29" s="388"/>
      <c r="QPI29" s="388"/>
      <c r="QPJ29" s="388"/>
      <c r="QPK29" s="388"/>
      <c r="QPL29" s="388"/>
      <c r="QPM29" s="388"/>
      <c r="QPN29" s="388"/>
      <c r="QPO29" s="388"/>
      <c r="QPP29" s="388"/>
      <c r="QPQ29" s="388"/>
      <c r="QPR29" s="388"/>
      <c r="QPS29" s="388"/>
      <c r="QPT29" s="388"/>
      <c r="QPU29" s="388"/>
      <c r="QPV29" s="388"/>
      <c r="QPW29" s="388"/>
      <c r="QPX29" s="388"/>
      <c r="QPY29" s="388"/>
      <c r="QPZ29" s="388"/>
      <c r="QQA29" s="388"/>
      <c r="QQB29" s="388"/>
      <c r="QQC29" s="388"/>
      <c r="QQD29" s="388"/>
      <c r="QQE29" s="388"/>
      <c r="QQF29" s="388"/>
      <c r="QQG29" s="388"/>
      <c r="QQH29" s="388"/>
      <c r="QQI29" s="388"/>
      <c r="QQJ29" s="388"/>
      <c r="QQK29" s="388"/>
      <c r="QQL29" s="388"/>
      <c r="QQM29" s="388"/>
      <c r="QQN29" s="388"/>
      <c r="QQO29" s="388"/>
      <c r="QQP29" s="388"/>
      <c r="QQQ29" s="388"/>
      <c r="QQR29" s="388"/>
      <c r="QQS29" s="388"/>
      <c r="QQT29" s="388"/>
      <c r="QQU29" s="388"/>
      <c r="QQV29" s="388"/>
      <c r="QQW29" s="388"/>
      <c r="QQX29" s="388"/>
      <c r="QQY29" s="388"/>
      <c r="QQZ29" s="388"/>
      <c r="QRA29" s="388"/>
      <c r="QRB29" s="388"/>
      <c r="QRC29" s="388"/>
      <c r="QRD29" s="388"/>
      <c r="QRE29" s="388"/>
      <c r="QRF29" s="388"/>
      <c r="QRG29" s="388"/>
      <c r="QRH29" s="388"/>
      <c r="QRI29" s="388"/>
      <c r="QRJ29" s="388"/>
      <c r="QRK29" s="388"/>
      <c r="QRL29" s="388"/>
      <c r="QRM29" s="388"/>
      <c r="QRN29" s="388"/>
      <c r="QRO29" s="388"/>
      <c r="QRP29" s="388"/>
      <c r="QRQ29" s="388"/>
      <c r="QRR29" s="388"/>
      <c r="QRS29" s="388"/>
      <c r="QRT29" s="388"/>
      <c r="QRU29" s="388"/>
      <c r="QRV29" s="388"/>
      <c r="QRW29" s="388"/>
      <c r="QRX29" s="388"/>
      <c r="QRY29" s="388"/>
      <c r="QRZ29" s="388"/>
      <c r="QSA29" s="388"/>
      <c r="QSB29" s="388"/>
      <c r="QSC29" s="388"/>
      <c r="QSD29" s="388"/>
      <c r="QSE29" s="388"/>
      <c r="QSF29" s="388"/>
      <c r="QSG29" s="388"/>
      <c r="QSH29" s="388"/>
      <c r="QSI29" s="388"/>
      <c r="QSJ29" s="388"/>
      <c r="QSK29" s="388"/>
      <c r="QSL29" s="388"/>
      <c r="QSM29" s="388"/>
      <c r="QSN29" s="388"/>
      <c r="QSO29" s="388"/>
      <c r="QSP29" s="388"/>
      <c r="QSQ29" s="388"/>
      <c r="QSR29" s="388"/>
      <c r="QSS29" s="388"/>
      <c r="QST29" s="388"/>
      <c r="QSU29" s="388"/>
      <c r="QSV29" s="388"/>
      <c r="QSW29" s="388"/>
      <c r="QSX29" s="388"/>
      <c r="QSY29" s="388"/>
      <c r="QSZ29" s="388"/>
      <c r="QTA29" s="388"/>
      <c r="QTB29" s="388"/>
      <c r="QTC29" s="388"/>
      <c r="QTD29" s="388"/>
      <c r="QTE29" s="388"/>
      <c r="QTF29" s="388"/>
      <c r="QTG29" s="388"/>
      <c r="QTH29" s="388"/>
      <c r="QTI29" s="388"/>
      <c r="QTJ29" s="388"/>
      <c r="QTK29" s="388"/>
      <c r="QTL29" s="388"/>
      <c r="QTM29" s="388"/>
      <c r="QTN29" s="388"/>
      <c r="QTO29" s="388"/>
      <c r="QTP29" s="388"/>
      <c r="QTQ29" s="388"/>
      <c r="QTR29" s="388"/>
      <c r="QTS29" s="388"/>
      <c r="QTT29" s="388"/>
      <c r="QTU29" s="388"/>
      <c r="QTV29" s="388"/>
      <c r="QTW29" s="388"/>
      <c r="QTX29" s="388"/>
      <c r="QTY29" s="388"/>
      <c r="QTZ29" s="388"/>
      <c r="QUA29" s="388"/>
      <c r="QUB29" s="388"/>
      <c r="QUC29" s="388"/>
      <c r="QUD29" s="388"/>
      <c r="QUE29" s="388"/>
      <c r="QUF29" s="388"/>
      <c r="QUG29" s="388"/>
      <c r="QUH29" s="388"/>
      <c r="QUI29" s="388"/>
      <c r="QUJ29" s="388"/>
      <c r="QUK29" s="388"/>
      <c r="QUL29" s="388"/>
      <c r="QUM29" s="388"/>
      <c r="QUN29" s="388"/>
      <c r="QUO29" s="388"/>
      <c r="QUP29" s="388"/>
      <c r="QUQ29" s="388"/>
      <c r="QUR29" s="388"/>
      <c r="QUS29" s="388"/>
      <c r="QUT29" s="388"/>
      <c r="QUU29" s="388"/>
      <c r="QUV29" s="388"/>
      <c r="QUW29" s="388"/>
      <c r="QUX29" s="388"/>
      <c r="QUY29" s="388"/>
      <c r="QUZ29" s="388"/>
      <c r="QVA29" s="388"/>
      <c r="QVB29" s="388"/>
      <c r="QVC29" s="388"/>
      <c r="QVD29" s="388"/>
      <c r="QVE29" s="388"/>
      <c r="QVF29" s="388"/>
      <c r="QVG29" s="388"/>
      <c r="QVH29" s="388"/>
      <c r="QVI29" s="388"/>
      <c r="QVJ29" s="388"/>
      <c r="QVK29" s="388"/>
      <c r="QVL29" s="388"/>
      <c r="QVM29" s="388"/>
      <c r="QVN29" s="388"/>
      <c r="QVO29" s="388"/>
      <c r="QVP29" s="388"/>
      <c r="QVQ29" s="388"/>
      <c r="QVR29" s="388"/>
      <c r="QVS29" s="388"/>
      <c r="QVT29" s="388"/>
      <c r="QVU29" s="388"/>
      <c r="QVV29" s="388"/>
      <c r="QVW29" s="388"/>
      <c r="QVX29" s="388"/>
      <c r="QVY29" s="388"/>
      <c r="QVZ29" s="388"/>
      <c r="QWA29" s="388"/>
      <c r="QWB29" s="388"/>
      <c r="QWC29" s="388"/>
      <c r="QWD29" s="388"/>
      <c r="QWE29" s="388"/>
      <c r="QWF29" s="388"/>
      <c r="QWG29" s="388"/>
      <c r="QWH29" s="388"/>
      <c r="QWI29" s="388"/>
      <c r="QWJ29" s="388"/>
      <c r="QWK29" s="388"/>
      <c r="QWL29" s="388"/>
      <c r="QWM29" s="388"/>
      <c r="QWN29" s="388"/>
      <c r="QWO29" s="388"/>
      <c r="QWP29" s="388"/>
      <c r="QWQ29" s="388"/>
      <c r="QWR29" s="388"/>
      <c r="QWS29" s="388"/>
      <c r="QWT29" s="388"/>
      <c r="QWU29" s="388"/>
      <c r="QWV29" s="388"/>
      <c r="QWW29" s="388"/>
      <c r="QWX29" s="388"/>
      <c r="QWY29" s="388"/>
      <c r="QWZ29" s="388"/>
      <c r="QXA29" s="388"/>
      <c r="QXB29" s="388"/>
      <c r="QXC29" s="388"/>
      <c r="QXD29" s="388"/>
      <c r="QXE29" s="388"/>
      <c r="QXF29" s="388"/>
      <c r="QXG29" s="388"/>
      <c r="QXH29" s="388"/>
      <c r="QXI29" s="388"/>
      <c r="QXJ29" s="388"/>
      <c r="QXK29" s="388"/>
      <c r="QXL29" s="388"/>
      <c r="QXM29" s="388"/>
      <c r="QXN29" s="388"/>
      <c r="QXO29" s="388"/>
      <c r="QXP29" s="388"/>
      <c r="QXQ29" s="388"/>
      <c r="QXR29" s="388"/>
      <c r="QXS29" s="388"/>
      <c r="QXT29" s="388"/>
      <c r="QXU29" s="388"/>
      <c r="QXV29" s="388"/>
      <c r="QXW29" s="388"/>
      <c r="QXX29" s="388"/>
      <c r="QXY29" s="388"/>
      <c r="QXZ29" s="388"/>
      <c r="QYA29" s="388"/>
      <c r="QYB29" s="388"/>
      <c r="QYC29" s="388"/>
      <c r="QYD29" s="388"/>
      <c r="QYE29" s="388"/>
      <c r="QYF29" s="388"/>
      <c r="QYG29" s="388"/>
      <c r="QYH29" s="388"/>
      <c r="QYI29" s="388"/>
      <c r="QYJ29" s="388"/>
      <c r="QYK29" s="388"/>
      <c r="QYL29" s="388"/>
      <c r="QYM29" s="388"/>
      <c r="QYN29" s="388"/>
      <c r="QYO29" s="388"/>
      <c r="QYP29" s="388"/>
      <c r="QYQ29" s="388"/>
      <c r="QYR29" s="388"/>
      <c r="QYS29" s="388"/>
      <c r="QYT29" s="388"/>
      <c r="QYU29" s="388"/>
      <c r="QYV29" s="388"/>
      <c r="QYW29" s="388"/>
      <c r="QYX29" s="388"/>
      <c r="QYY29" s="388"/>
      <c r="QYZ29" s="388"/>
      <c r="QZA29" s="388"/>
      <c r="QZB29" s="388"/>
      <c r="QZC29" s="388"/>
      <c r="QZD29" s="388"/>
      <c r="QZE29" s="388"/>
      <c r="QZF29" s="388"/>
      <c r="QZG29" s="388"/>
      <c r="QZH29" s="388"/>
      <c r="QZI29" s="388"/>
      <c r="QZJ29" s="388"/>
      <c r="QZK29" s="388"/>
      <c r="QZL29" s="388"/>
      <c r="QZM29" s="388"/>
      <c r="QZN29" s="388"/>
      <c r="QZO29" s="388"/>
      <c r="QZP29" s="388"/>
      <c r="QZQ29" s="388"/>
      <c r="QZR29" s="388"/>
      <c r="QZS29" s="388"/>
      <c r="QZT29" s="388"/>
      <c r="QZU29" s="388"/>
      <c r="QZV29" s="388"/>
      <c r="QZW29" s="388"/>
      <c r="QZX29" s="388"/>
      <c r="QZY29" s="388"/>
      <c r="QZZ29" s="388"/>
      <c r="RAA29" s="388"/>
      <c r="RAB29" s="388"/>
      <c r="RAC29" s="388"/>
      <c r="RAD29" s="388"/>
      <c r="RAE29" s="388"/>
      <c r="RAF29" s="388"/>
      <c r="RAG29" s="388"/>
      <c r="RAH29" s="388"/>
      <c r="RAI29" s="388"/>
      <c r="RAJ29" s="388"/>
      <c r="RAK29" s="388"/>
      <c r="RAL29" s="388"/>
      <c r="RAM29" s="388"/>
      <c r="RAN29" s="388"/>
      <c r="RAO29" s="388"/>
      <c r="RAP29" s="388"/>
      <c r="RAQ29" s="388"/>
      <c r="RAR29" s="388"/>
      <c r="RAS29" s="388"/>
      <c r="RAT29" s="388"/>
      <c r="RAU29" s="388"/>
      <c r="RAV29" s="388"/>
      <c r="RAW29" s="388"/>
      <c r="RAX29" s="388"/>
      <c r="RAY29" s="388"/>
      <c r="RAZ29" s="388"/>
      <c r="RBA29" s="388"/>
      <c r="RBB29" s="388"/>
      <c r="RBC29" s="388"/>
      <c r="RBD29" s="388"/>
      <c r="RBE29" s="388"/>
      <c r="RBF29" s="388"/>
      <c r="RBG29" s="388"/>
      <c r="RBH29" s="388"/>
      <c r="RBI29" s="388"/>
      <c r="RBJ29" s="388"/>
      <c r="RBK29" s="388"/>
      <c r="RBL29" s="388"/>
      <c r="RBM29" s="388"/>
      <c r="RBN29" s="388"/>
      <c r="RBO29" s="388"/>
      <c r="RBP29" s="388"/>
      <c r="RBQ29" s="388"/>
      <c r="RBR29" s="388"/>
      <c r="RBS29" s="388"/>
      <c r="RBT29" s="388"/>
      <c r="RBU29" s="388"/>
      <c r="RBV29" s="388"/>
      <c r="RBW29" s="388"/>
      <c r="RBX29" s="388"/>
      <c r="RBY29" s="388"/>
      <c r="RBZ29" s="388"/>
      <c r="RCA29" s="388"/>
      <c r="RCB29" s="388"/>
      <c r="RCC29" s="388"/>
      <c r="RCD29" s="388"/>
      <c r="RCE29" s="388"/>
      <c r="RCF29" s="388"/>
      <c r="RCG29" s="388"/>
      <c r="RCH29" s="388"/>
      <c r="RCI29" s="388"/>
      <c r="RCJ29" s="388"/>
      <c r="RCK29" s="388"/>
      <c r="RCL29" s="388"/>
      <c r="RCM29" s="388"/>
      <c r="RCN29" s="388"/>
      <c r="RCO29" s="388"/>
      <c r="RCP29" s="388"/>
      <c r="RCQ29" s="388"/>
      <c r="RCR29" s="388"/>
      <c r="RCS29" s="388"/>
      <c r="RCT29" s="388"/>
      <c r="RCU29" s="388"/>
      <c r="RCV29" s="388"/>
      <c r="RCW29" s="388"/>
      <c r="RCX29" s="388"/>
      <c r="RCY29" s="388"/>
      <c r="RCZ29" s="388"/>
      <c r="RDA29" s="388"/>
      <c r="RDB29" s="388"/>
      <c r="RDC29" s="388"/>
      <c r="RDD29" s="388"/>
      <c r="RDE29" s="388"/>
      <c r="RDF29" s="388"/>
      <c r="RDG29" s="388"/>
      <c r="RDH29" s="388"/>
      <c r="RDI29" s="388"/>
      <c r="RDJ29" s="388"/>
      <c r="RDK29" s="388"/>
      <c r="RDL29" s="388"/>
      <c r="RDM29" s="388"/>
      <c r="RDN29" s="388"/>
      <c r="RDO29" s="388"/>
      <c r="RDP29" s="388"/>
      <c r="RDQ29" s="388"/>
      <c r="RDR29" s="388"/>
      <c r="RDS29" s="388"/>
      <c r="RDT29" s="388"/>
      <c r="RDU29" s="388"/>
      <c r="RDV29" s="388"/>
      <c r="RDW29" s="388"/>
      <c r="RDX29" s="388"/>
      <c r="RDY29" s="388"/>
      <c r="RDZ29" s="388"/>
      <c r="REA29" s="388"/>
      <c r="REB29" s="388"/>
      <c r="REC29" s="388"/>
      <c r="RED29" s="388"/>
      <c r="REE29" s="388"/>
      <c r="REF29" s="388"/>
      <c r="REG29" s="388"/>
      <c r="REH29" s="388"/>
      <c r="REI29" s="388"/>
      <c r="REJ29" s="388"/>
      <c r="REK29" s="388"/>
      <c r="REL29" s="388"/>
      <c r="REM29" s="388"/>
      <c r="REN29" s="388"/>
      <c r="REO29" s="388"/>
      <c r="REP29" s="388"/>
      <c r="REQ29" s="388"/>
      <c r="RER29" s="388"/>
      <c r="RES29" s="388"/>
      <c r="RET29" s="388"/>
      <c r="REU29" s="388"/>
      <c r="REV29" s="388"/>
      <c r="REW29" s="388"/>
      <c r="REX29" s="388"/>
      <c r="REY29" s="388"/>
      <c r="REZ29" s="388"/>
      <c r="RFA29" s="388"/>
      <c r="RFB29" s="388"/>
      <c r="RFC29" s="388"/>
      <c r="RFD29" s="388"/>
      <c r="RFE29" s="388"/>
      <c r="RFF29" s="388"/>
      <c r="RFG29" s="388"/>
      <c r="RFH29" s="388"/>
      <c r="RFI29" s="388"/>
      <c r="RFJ29" s="388"/>
      <c r="RFK29" s="388"/>
      <c r="RFL29" s="388"/>
      <c r="RFM29" s="388"/>
      <c r="RFN29" s="388"/>
      <c r="RFO29" s="388"/>
      <c r="RFP29" s="388"/>
      <c r="RFQ29" s="388"/>
      <c r="RFR29" s="388"/>
      <c r="RFS29" s="388"/>
      <c r="RFT29" s="388"/>
      <c r="RFU29" s="388"/>
      <c r="RFV29" s="388"/>
      <c r="RFW29" s="388"/>
      <c r="RFX29" s="388"/>
      <c r="RFY29" s="388"/>
      <c r="RFZ29" s="388"/>
      <c r="RGA29" s="388"/>
      <c r="RGB29" s="388"/>
      <c r="RGC29" s="388"/>
      <c r="RGD29" s="388"/>
      <c r="RGE29" s="388"/>
      <c r="RGF29" s="388"/>
      <c r="RGG29" s="388"/>
      <c r="RGH29" s="388"/>
      <c r="RGI29" s="388"/>
      <c r="RGJ29" s="388"/>
      <c r="RGK29" s="388"/>
      <c r="RGL29" s="388"/>
      <c r="RGM29" s="388"/>
      <c r="RGN29" s="388"/>
      <c r="RGO29" s="388"/>
      <c r="RGP29" s="388"/>
      <c r="RGQ29" s="388"/>
      <c r="RGR29" s="388"/>
      <c r="RGS29" s="388"/>
      <c r="RGT29" s="388"/>
      <c r="RGU29" s="388"/>
      <c r="RGV29" s="388"/>
      <c r="RGW29" s="388"/>
      <c r="RGX29" s="388"/>
      <c r="RGY29" s="388"/>
      <c r="RGZ29" s="388"/>
      <c r="RHA29" s="388"/>
      <c r="RHB29" s="388"/>
      <c r="RHC29" s="388"/>
      <c r="RHD29" s="388"/>
      <c r="RHE29" s="388"/>
      <c r="RHF29" s="388"/>
      <c r="RHG29" s="388"/>
      <c r="RHH29" s="388"/>
      <c r="RHI29" s="388"/>
      <c r="RHJ29" s="388"/>
      <c r="RHK29" s="388"/>
      <c r="RHL29" s="388"/>
      <c r="RHM29" s="388"/>
      <c r="RHN29" s="388"/>
      <c r="RHO29" s="388"/>
      <c r="RHP29" s="388"/>
      <c r="RHQ29" s="388"/>
      <c r="RHR29" s="388"/>
      <c r="RHS29" s="388"/>
      <c r="RHT29" s="388"/>
      <c r="RHU29" s="388"/>
      <c r="RHV29" s="388"/>
      <c r="RHW29" s="388"/>
      <c r="RHX29" s="388"/>
      <c r="RHY29" s="388"/>
      <c r="RHZ29" s="388"/>
      <c r="RIA29" s="388"/>
      <c r="RIB29" s="388"/>
      <c r="RIC29" s="388"/>
      <c r="RID29" s="388"/>
      <c r="RIE29" s="388"/>
      <c r="RIF29" s="388"/>
      <c r="RIG29" s="388"/>
      <c r="RIH29" s="388"/>
      <c r="RII29" s="388"/>
      <c r="RIJ29" s="388"/>
      <c r="RIK29" s="388"/>
      <c r="RIL29" s="388"/>
      <c r="RIM29" s="388"/>
      <c r="RIN29" s="388"/>
      <c r="RIO29" s="388"/>
      <c r="RIP29" s="388"/>
      <c r="RIQ29" s="388"/>
      <c r="RIR29" s="388"/>
      <c r="RIS29" s="388"/>
      <c r="RIT29" s="388"/>
      <c r="RIU29" s="388"/>
      <c r="RIV29" s="388"/>
      <c r="RIW29" s="388"/>
      <c r="RIX29" s="388"/>
      <c r="RIY29" s="388"/>
      <c r="RIZ29" s="388"/>
      <c r="RJA29" s="388"/>
      <c r="RJB29" s="388"/>
      <c r="RJC29" s="388"/>
      <c r="RJD29" s="388"/>
      <c r="RJE29" s="388"/>
      <c r="RJF29" s="388"/>
      <c r="RJG29" s="388"/>
      <c r="RJH29" s="388"/>
      <c r="RJI29" s="388"/>
      <c r="RJJ29" s="388"/>
      <c r="RJK29" s="388"/>
      <c r="RJL29" s="388"/>
      <c r="RJM29" s="388"/>
      <c r="RJN29" s="388"/>
      <c r="RJO29" s="388"/>
      <c r="RJP29" s="388"/>
      <c r="RJQ29" s="388"/>
      <c r="RJR29" s="388"/>
      <c r="RJS29" s="388"/>
      <c r="RJT29" s="388"/>
      <c r="RJU29" s="388"/>
      <c r="RJV29" s="388"/>
      <c r="RJW29" s="388"/>
      <c r="RJX29" s="388"/>
      <c r="RJY29" s="388"/>
      <c r="RJZ29" s="388"/>
      <c r="RKA29" s="388"/>
      <c r="RKB29" s="388"/>
      <c r="RKC29" s="388"/>
      <c r="RKD29" s="388"/>
      <c r="RKE29" s="388"/>
      <c r="RKF29" s="388"/>
      <c r="RKG29" s="388"/>
      <c r="RKH29" s="388"/>
      <c r="RKI29" s="388"/>
      <c r="RKJ29" s="388"/>
      <c r="RKK29" s="388"/>
      <c r="RKL29" s="388"/>
      <c r="RKM29" s="388"/>
      <c r="RKN29" s="388"/>
      <c r="RKO29" s="388"/>
      <c r="RKP29" s="388"/>
      <c r="RKQ29" s="388"/>
      <c r="RKR29" s="388"/>
      <c r="RKS29" s="388"/>
      <c r="RKT29" s="388"/>
      <c r="RKU29" s="388"/>
      <c r="RKV29" s="388"/>
      <c r="RKW29" s="388"/>
      <c r="RKX29" s="388"/>
      <c r="RKY29" s="388"/>
      <c r="RKZ29" s="388"/>
      <c r="RLA29" s="388"/>
      <c r="RLB29" s="388"/>
      <c r="RLC29" s="388"/>
      <c r="RLD29" s="388"/>
      <c r="RLE29" s="388"/>
      <c r="RLF29" s="388"/>
      <c r="RLG29" s="388"/>
      <c r="RLH29" s="388"/>
      <c r="RLI29" s="388"/>
      <c r="RLJ29" s="388"/>
      <c r="RLK29" s="388"/>
      <c r="RLL29" s="388"/>
      <c r="RLM29" s="388"/>
      <c r="RLN29" s="388"/>
      <c r="RLO29" s="388"/>
      <c r="RLP29" s="388"/>
      <c r="RLQ29" s="388"/>
      <c r="RLR29" s="388"/>
      <c r="RLS29" s="388"/>
      <c r="RLT29" s="388"/>
      <c r="RLU29" s="388"/>
      <c r="RLV29" s="388"/>
      <c r="RLW29" s="388"/>
      <c r="RLX29" s="388"/>
      <c r="RLY29" s="388"/>
      <c r="RLZ29" s="388"/>
      <c r="RMA29" s="388"/>
      <c r="RMB29" s="388"/>
      <c r="RMC29" s="388"/>
      <c r="RMD29" s="388"/>
      <c r="RME29" s="388"/>
      <c r="RMF29" s="388"/>
      <c r="RMG29" s="388"/>
      <c r="RMH29" s="388"/>
      <c r="RMI29" s="388"/>
      <c r="RMJ29" s="388"/>
      <c r="RMK29" s="388"/>
      <c r="RML29" s="388"/>
      <c r="RMM29" s="388"/>
      <c r="RMN29" s="388"/>
      <c r="RMO29" s="388"/>
      <c r="RMP29" s="388"/>
      <c r="RMQ29" s="388"/>
      <c r="RMR29" s="388"/>
      <c r="RMS29" s="388"/>
      <c r="RMT29" s="388"/>
      <c r="RMU29" s="388"/>
      <c r="RMV29" s="388"/>
      <c r="RMW29" s="388"/>
      <c r="RMX29" s="388"/>
      <c r="RMY29" s="388"/>
      <c r="RMZ29" s="388"/>
      <c r="RNA29" s="388"/>
      <c r="RNB29" s="388"/>
      <c r="RNC29" s="388"/>
      <c r="RND29" s="388"/>
      <c r="RNE29" s="388"/>
      <c r="RNF29" s="388"/>
      <c r="RNG29" s="388"/>
      <c r="RNH29" s="388"/>
      <c r="RNI29" s="388"/>
      <c r="RNJ29" s="388"/>
      <c r="RNK29" s="388"/>
      <c r="RNL29" s="388"/>
      <c r="RNM29" s="388"/>
      <c r="RNN29" s="388"/>
      <c r="RNO29" s="388"/>
      <c r="RNP29" s="388"/>
      <c r="RNQ29" s="388"/>
      <c r="RNR29" s="388"/>
      <c r="RNS29" s="388"/>
      <c r="RNT29" s="388"/>
      <c r="RNU29" s="388"/>
      <c r="RNV29" s="388"/>
      <c r="RNW29" s="388"/>
      <c r="RNX29" s="388"/>
      <c r="RNY29" s="388"/>
      <c r="RNZ29" s="388"/>
      <c r="ROA29" s="388"/>
      <c r="ROB29" s="388"/>
      <c r="ROC29" s="388"/>
      <c r="ROD29" s="388"/>
      <c r="ROE29" s="388"/>
      <c r="ROF29" s="388"/>
      <c r="ROG29" s="388"/>
      <c r="ROH29" s="388"/>
      <c r="ROI29" s="388"/>
      <c r="ROJ29" s="388"/>
      <c r="ROK29" s="388"/>
      <c r="ROL29" s="388"/>
      <c r="ROM29" s="388"/>
      <c r="RON29" s="388"/>
      <c r="ROO29" s="388"/>
      <c r="ROP29" s="388"/>
      <c r="ROQ29" s="388"/>
      <c r="ROR29" s="388"/>
      <c r="ROS29" s="388"/>
      <c r="ROT29" s="388"/>
      <c r="ROU29" s="388"/>
      <c r="ROV29" s="388"/>
      <c r="ROW29" s="388"/>
      <c r="ROX29" s="388"/>
      <c r="ROY29" s="388"/>
      <c r="ROZ29" s="388"/>
      <c r="RPA29" s="388"/>
      <c r="RPB29" s="388"/>
      <c r="RPC29" s="388"/>
      <c r="RPD29" s="388"/>
      <c r="RPE29" s="388"/>
      <c r="RPF29" s="388"/>
      <c r="RPG29" s="388"/>
      <c r="RPH29" s="388"/>
      <c r="RPI29" s="388"/>
      <c r="RPJ29" s="388"/>
      <c r="RPK29" s="388"/>
      <c r="RPL29" s="388"/>
      <c r="RPM29" s="388"/>
      <c r="RPN29" s="388"/>
      <c r="RPO29" s="388"/>
      <c r="RPP29" s="388"/>
      <c r="RPQ29" s="388"/>
      <c r="RPR29" s="388"/>
      <c r="RPS29" s="388"/>
      <c r="RPT29" s="388"/>
      <c r="RPU29" s="388"/>
      <c r="RPV29" s="388"/>
      <c r="RPW29" s="388"/>
      <c r="RPX29" s="388"/>
      <c r="RPY29" s="388"/>
      <c r="RPZ29" s="388"/>
      <c r="RQA29" s="388"/>
      <c r="RQB29" s="388"/>
      <c r="RQC29" s="388"/>
      <c r="RQD29" s="388"/>
      <c r="RQE29" s="388"/>
      <c r="RQF29" s="388"/>
      <c r="RQG29" s="388"/>
      <c r="RQH29" s="388"/>
      <c r="RQI29" s="388"/>
      <c r="RQJ29" s="388"/>
      <c r="RQK29" s="388"/>
      <c r="RQL29" s="388"/>
      <c r="RQM29" s="388"/>
      <c r="RQN29" s="388"/>
      <c r="RQO29" s="388"/>
      <c r="RQP29" s="388"/>
      <c r="RQQ29" s="388"/>
      <c r="RQR29" s="388"/>
      <c r="RQS29" s="388"/>
      <c r="RQT29" s="388"/>
      <c r="RQU29" s="388"/>
      <c r="RQV29" s="388"/>
      <c r="RQW29" s="388"/>
      <c r="RQX29" s="388"/>
      <c r="RQY29" s="388"/>
      <c r="RQZ29" s="388"/>
      <c r="RRA29" s="388"/>
      <c r="RRB29" s="388"/>
      <c r="RRC29" s="388"/>
      <c r="RRD29" s="388"/>
      <c r="RRE29" s="388"/>
      <c r="RRF29" s="388"/>
      <c r="RRG29" s="388"/>
      <c r="RRH29" s="388"/>
      <c r="RRI29" s="388"/>
      <c r="RRJ29" s="388"/>
      <c r="RRK29" s="388"/>
      <c r="RRL29" s="388"/>
      <c r="RRM29" s="388"/>
      <c r="RRN29" s="388"/>
      <c r="RRO29" s="388"/>
      <c r="RRP29" s="388"/>
      <c r="RRQ29" s="388"/>
      <c r="RRR29" s="388"/>
      <c r="RRS29" s="388"/>
      <c r="RRT29" s="388"/>
      <c r="RRU29" s="388"/>
      <c r="RRV29" s="388"/>
      <c r="RRW29" s="388"/>
      <c r="RRX29" s="388"/>
      <c r="RRY29" s="388"/>
      <c r="RRZ29" s="388"/>
      <c r="RSA29" s="388"/>
      <c r="RSB29" s="388"/>
      <c r="RSC29" s="388"/>
      <c r="RSD29" s="388"/>
      <c r="RSE29" s="388"/>
      <c r="RSF29" s="388"/>
      <c r="RSG29" s="388"/>
      <c r="RSH29" s="388"/>
      <c r="RSI29" s="388"/>
      <c r="RSJ29" s="388"/>
      <c r="RSK29" s="388"/>
      <c r="RSL29" s="388"/>
      <c r="RSM29" s="388"/>
      <c r="RSN29" s="388"/>
      <c r="RSO29" s="388"/>
      <c r="RSP29" s="388"/>
      <c r="RSQ29" s="388"/>
      <c r="RSR29" s="388"/>
      <c r="RSS29" s="388"/>
      <c r="RST29" s="388"/>
      <c r="RSU29" s="388"/>
      <c r="RSV29" s="388"/>
      <c r="RSW29" s="388"/>
      <c r="RSX29" s="388"/>
      <c r="RSY29" s="388"/>
      <c r="RSZ29" s="388"/>
      <c r="RTA29" s="388"/>
      <c r="RTB29" s="388"/>
      <c r="RTC29" s="388"/>
      <c r="RTD29" s="388"/>
      <c r="RTE29" s="388"/>
      <c r="RTF29" s="388"/>
      <c r="RTG29" s="388"/>
      <c r="RTH29" s="388"/>
      <c r="RTI29" s="388"/>
      <c r="RTJ29" s="388"/>
      <c r="RTK29" s="388"/>
      <c r="RTL29" s="388"/>
      <c r="RTM29" s="388"/>
      <c r="RTN29" s="388"/>
      <c r="RTO29" s="388"/>
      <c r="RTP29" s="388"/>
      <c r="RTQ29" s="388"/>
      <c r="RTR29" s="388"/>
      <c r="RTS29" s="388"/>
      <c r="RTT29" s="388"/>
      <c r="RTU29" s="388"/>
      <c r="RTV29" s="388"/>
      <c r="RTW29" s="388"/>
      <c r="RTX29" s="388"/>
      <c r="RTY29" s="388"/>
      <c r="RTZ29" s="388"/>
      <c r="RUA29" s="388"/>
      <c r="RUB29" s="388"/>
      <c r="RUC29" s="388"/>
      <c r="RUD29" s="388"/>
      <c r="RUE29" s="388"/>
      <c r="RUF29" s="388"/>
      <c r="RUG29" s="388"/>
      <c r="RUH29" s="388"/>
      <c r="RUI29" s="388"/>
      <c r="RUJ29" s="388"/>
      <c r="RUK29" s="388"/>
      <c r="RUL29" s="388"/>
      <c r="RUM29" s="388"/>
      <c r="RUN29" s="388"/>
      <c r="RUO29" s="388"/>
      <c r="RUP29" s="388"/>
      <c r="RUQ29" s="388"/>
      <c r="RUR29" s="388"/>
      <c r="RUS29" s="388"/>
      <c r="RUT29" s="388"/>
      <c r="RUU29" s="388"/>
      <c r="RUV29" s="388"/>
      <c r="RUW29" s="388"/>
      <c r="RUX29" s="388"/>
      <c r="RUY29" s="388"/>
      <c r="RUZ29" s="388"/>
      <c r="RVA29" s="388"/>
      <c r="RVB29" s="388"/>
      <c r="RVC29" s="388"/>
      <c r="RVD29" s="388"/>
      <c r="RVE29" s="388"/>
      <c r="RVF29" s="388"/>
      <c r="RVG29" s="388"/>
      <c r="RVH29" s="388"/>
      <c r="RVI29" s="388"/>
      <c r="RVJ29" s="388"/>
      <c r="RVK29" s="388"/>
      <c r="RVL29" s="388"/>
      <c r="RVM29" s="388"/>
      <c r="RVN29" s="388"/>
      <c r="RVO29" s="388"/>
      <c r="RVP29" s="388"/>
      <c r="RVQ29" s="388"/>
      <c r="RVR29" s="388"/>
      <c r="RVS29" s="388"/>
      <c r="RVT29" s="388"/>
      <c r="RVU29" s="388"/>
      <c r="RVV29" s="388"/>
      <c r="RVW29" s="388"/>
      <c r="RVX29" s="388"/>
      <c r="RVY29" s="388"/>
      <c r="RVZ29" s="388"/>
      <c r="RWA29" s="388"/>
      <c r="RWB29" s="388"/>
      <c r="RWC29" s="388"/>
      <c r="RWD29" s="388"/>
      <c r="RWE29" s="388"/>
      <c r="RWF29" s="388"/>
      <c r="RWG29" s="388"/>
      <c r="RWH29" s="388"/>
      <c r="RWI29" s="388"/>
      <c r="RWJ29" s="388"/>
      <c r="RWK29" s="388"/>
      <c r="RWL29" s="388"/>
      <c r="RWM29" s="388"/>
      <c r="RWN29" s="388"/>
      <c r="RWO29" s="388"/>
      <c r="RWP29" s="388"/>
      <c r="RWQ29" s="388"/>
      <c r="RWR29" s="388"/>
      <c r="RWS29" s="388"/>
      <c r="RWT29" s="388"/>
      <c r="RWU29" s="388"/>
      <c r="RWV29" s="388"/>
      <c r="RWW29" s="388"/>
      <c r="RWX29" s="388"/>
      <c r="RWY29" s="388"/>
      <c r="RWZ29" s="388"/>
      <c r="RXA29" s="388"/>
      <c r="RXB29" s="388"/>
      <c r="RXC29" s="388"/>
      <c r="RXD29" s="388"/>
      <c r="RXE29" s="388"/>
      <c r="RXF29" s="388"/>
      <c r="RXG29" s="388"/>
      <c r="RXH29" s="388"/>
      <c r="RXI29" s="388"/>
      <c r="RXJ29" s="388"/>
      <c r="RXK29" s="388"/>
      <c r="RXL29" s="388"/>
      <c r="RXM29" s="388"/>
      <c r="RXN29" s="388"/>
      <c r="RXO29" s="388"/>
      <c r="RXP29" s="388"/>
      <c r="RXQ29" s="388"/>
      <c r="RXR29" s="388"/>
      <c r="RXS29" s="388"/>
      <c r="RXT29" s="388"/>
      <c r="RXU29" s="388"/>
      <c r="RXV29" s="388"/>
      <c r="RXW29" s="388"/>
      <c r="RXX29" s="388"/>
      <c r="RXY29" s="388"/>
      <c r="RXZ29" s="388"/>
      <c r="RYA29" s="388"/>
      <c r="RYB29" s="388"/>
      <c r="RYC29" s="388"/>
      <c r="RYD29" s="388"/>
      <c r="RYE29" s="388"/>
      <c r="RYF29" s="388"/>
      <c r="RYG29" s="388"/>
      <c r="RYH29" s="388"/>
      <c r="RYI29" s="388"/>
      <c r="RYJ29" s="388"/>
      <c r="RYK29" s="388"/>
      <c r="RYL29" s="388"/>
      <c r="RYM29" s="388"/>
      <c r="RYN29" s="388"/>
      <c r="RYO29" s="388"/>
      <c r="RYP29" s="388"/>
      <c r="RYQ29" s="388"/>
      <c r="RYR29" s="388"/>
      <c r="RYS29" s="388"/>
      <c r="RYT29" s="388"/>
      <c r="RYU29" s="388"/>
      <c r="RYV29" s="388"/>
      <c r="RYW29" s="388"/>
      <c r="RYX29" s="388"/>
      <c r="RYY29" s="388"/>
      <c r="RYZ29" s="388"/>
      <c r="RZA29" s="388"/>
      <c r="RZB29" s="388"/>
      <c r="RZC29" s="388"/>
      <c r="RZD29" s="388"/>
      <c r="RZE29" s="388"/>
      <c r="RZF29" s="388"/>
      <c r="RZG29" s="388"/>
      <c r="RZH29" s="388"/>
      <c r="RZI29" s="388"/>
      <c r="RZJ29" s="388"/>
      <c r="RZK29" s="388"/>
      <c r="RZL29" s="388"/>
      <c r="RZM29" s="388"/>
      <c r="RZN29" s="388"/>
      <c r="RZO29" s="388"/>
      <c r="RZP29" s="388"/>
      <c r="RZQ29" s="388"/>
      <c r="RZR29" s="388"/>
      <c r="RZS29" s="388"/>
      <c r="RZT29" s="388"/>
      <c r="RZU29" s="388"/>
      <c r="RZV29" s="388"/>
      <c r="RZW29" s="388"/>
      <c r="RZX29" s="388"/>
      <c r="RZY29" s="388"/>
      <c r="RZZ29" s="388"/>
      <c r="SAA29" s="388"/>
      <c r="SAB29" s="388"/>
      <c r="SAC29" s="388"/>
      <c r="SAD29" s="388"/>
      <c r="SAE29" s="388"/>
      <c r="SAF29" s="388"/>
      <c r="SAG29" s="388"/>
      <c r="SAH29" s="388"/>
      <c r="SAI29" s="388"/>
      <c r="SAJ29" s="388"/>
      <c r="SAK29" s="388"/>
      <c r="SAL29" s="388"/>
      <c r="SAM29" s="388"/>
      <c r="SAN29" s="388"/>
      <c r="SAO29" s="388"/>
      <c r="SAP29" s="388"/>
      <c r="SAQ29" s="388"/>
      <c r="SAR29" s="388"/>
      <c r="SAS29" s="388"/>
      <c r="SAT29" s="388"/>
      <c r="SAU29" s="388"/>
      <c r="SAV29" s="388"/>
      <c r="SAW29" s="388"/>
      <c r="SAX29" s="388"/>
      <c r="SAY29" s="388"/>
      <c r="SAZ29" s="388"/>
      <c r="SBA29" s="388"/>
      <c r="SBB29" s="388"/>
      <c r="SBC29" s="388"/>
      <c r="SBD29" s="388"/>
      <c r="SBE29" s="388"/>
      <c r="SBF29" s="388"/>
      <c r="SBG29" s="388"/>
      <c r="SBH29" s="388"/>
      <c r="SBI29" s="388"/>
      <c r="SBJ29" s="388"/>
      <c r="SBK29" s="388"/>
      <c r="SBL29" s="388"/>
      <c r="SBM29" s="388"/>
      <c r="SBN29" s="388"/>
      <c r="SBO29" s="388"/>
      <c r="SBP29" s="388"/>
      <c r="SBQ29" s="388"/>
      <c r="SBR29" s="388"/>
      <c r="SBS29" s="388"/>
      <c r="SBT29" s="388"/>
      <c r="SBU29" s="388"/>
      <c r="SBV29" s="388"/>
      <c r="SBW29" s="388"/>
      <c r="SBX29" s="388"/>
      <c r="SBY29" s="388"/>
      <c r="SBZ29" s="388"/>
      <c r="SCA29" s="388"/>
      <c r="SCB29" s="388"/>
      <c r="SCC29" s="388"/>
      <c r="SCD29" s="388"/>
      <c r="SCE29" s="388"/>
      <c r="SCF29" s="388"/>
      <c r="SCG29" s="388"/>
      <c r="SCH29" s="388"/>
      <c r="SCI29" s="388"/>
      <c r="SCJ29" s="388"/>
      <c r="SCK29" s="388"/>
      <c r="SCL29" s="388"/>
      <c r="SCM29" s="388"/>
      <c r="SCN29" s="388"/>
      <c r="SCO29" s="388"/>
      <c r="SCP29" s="388"/>
      <c r="SCQ29" s="388"/>
      <c r="SCR29" s="388"/>
      <c r="SCS29" s="388"/>
      <c r="SCT29" s="388"/>
      <c r="SCU29" s="388"/>
      <c r="SCV29" s="388"/>
      <c r="SCW29" s="388"/>
      <c r="SCX29" s="388"/>
      <c r="SCY29" s="388"/>
      <c r="SCZ29" s="388"/>
      <c r="SDA29" s="388"/>
      <c r="SDB29" s="388"/>
      <c r="SDC29" s="388"/>
      <c r="SDD29" s="388"/>
      <c r="SDE29" s="388"/>
      <c r="SDF29" s="388"/>
      <c r="SDG29" s="388"/>
      <c r="SDH29" s="388"/>
      <c r="SDI29" s="388"/>
      <c r="SDJ29" s="388"/>
      <c r="SDK29" s="388"/>
      <c r="SDL29" s="388"/>
      <c r="SDM29" s="388"/>
      <c r="SDN29" s="388"/>
      <c r="SDO29" s="388"/>
      <c r="SDP29" s="388"/>
      <c r="SDQ29" s="388"/>
      <c r="SDR29" s="388"/>
      <c r="SDS29" s="388"/>
      <c r="SDT29" s="388"/>
      <c r="SDU29" s="388"/>
      <c r="SDV29" s="388"/>
      <c r="SDW29" s="388"/>
      <c r="SDX29" s="388"/>
      <c r="SDY29" s="388"/>
      <c r="SDZ29" s="388"/>
      <c r="SEA29" s="388"/>
      <c r="SEB29" s="388"/>
      <c r="SEC29" s="388"/>
      <c r="SED29" s="388"/>
      <c r="SEE29" s="388"/>
      <c r="SEF29" s="388"/>
      <c r="SEG29" s="388"/>
      <c r="SEH29" s="388"/>
      <c r="SEI29" s="388"/>
      <c r="SEJ29" s="388"/>
      <c r="SEK29" s="388"/>
      <c r="SEL29" s="388"/>
      <c r="SEM29" s="388"/>
      <c r="SEN29" s="388"/>
      <c r="SEO29" s="388"/>
      <c r="SEP29" s="388"/>
      <c r="SEQ29" s="388"/>
      <c r="SER29" s="388"/>
      <c r="SES29" s="388"/>
      <c r="SET29" s="388"/>
      <c r="SEU29" s="388"/>
      <c r="SEV29" s="388"/>
      <c r="SEW29" s="388"/>
      <c r="SEX29" s="388"/>
      <c r="SEY29" s="388"/>
      <c r="SEZ29" s="388"/>
      <c r="SFA29" s="388"/>
      <c r="SFB29" s="388"/>
      <c r="SFC29" s="388"/>
      <c r="SFD29" s="388"/>
      <c r="SFE29" s="388"/>
      <c r="SFF29" s="388"/>
      <c r="SFG29" s="388"/>
      <c r="SFH29" s="388"/>
      <c r="SFI29" s="388"/>
      <c r="SFJ29" s="388"/>
      <c r="SFK29" s="388"/>
      <c r="SFL29" s="388"/>
      <c r="SFM29" s="388"/>
      <c r="SFN29" s="388"/>
      <c r="SFO29" s="388"/>
      <c r="SFP29" s="388"/>
      <c r="SFQ29" s="388"/>
      <c r="SFR29" s="388"/>
      <c r="SFS29" s="388"/>
      <c r="SFT29" s="388"/>
      <c r="SFU29" s="388"/>
      <c r="SFV29" s="388"/>
      <c r="SFW29" s="388"/>
      <c r="SFX29" s="388"/>
      <c r="SFY29" s="388"/>
      <c r="SFZ29" s="388"/>
      <c r="SGA29" s="388"/>
      <c r="SGB29" s="388"/>
      <c r="SGC29" s="388"/>
      <c r="SGD29" s="388"/>
      <c r="SGE29" s="388"/>
      <c r="SGF29" s="388"/>
      <c r="SGG29" s="388"/>
      <c r="SGH29" s="388"/>
      <c r="SGI29" s="388"/>
      <c r="SGJ29" s="388"/>
      <c r="SGK29" s="388"/>
      <c r="SGL29" s="388"/>
      <c r="SGM29" s="388"/>
      <c r="SGN29" s="388"/>
      <c r="SGO29" s="388"/>
      <c r="SGP29" s="388"/>
      <c r="SGQ29" s="388"/>
      <c r="SGR29" s="388"/>
      <c r="SGS29" s="388"/>
      <c r="SGT29" s="388"/>
      <c r="SGU29" s="388"/>
      <c r="SGV29" s="388"/>
      <c r="SGW29" s="388"/>
      <c r="SGX29" s="388"/>
      <c r="SGY29" s="388"/>
      <c r="SGZ29" s="388"/>
      <c r="SHA29" s="388"/>
      <c r="SHB29" s="388"/>
      <c r="SHC29" s="388"/>
      <c r="SHD29" s="388"/>
      <c r="SHE29" s="388"/>
      <c r="SHF29" s="388"/>
      <c r="SHG29" s="388"/>
      <c r="SHH29" s="388"/>
      <c r="SHI29" s="388"/>
      <c r="SHJ29" s="388"/>
      <c r="SHK29" s="388"/>
      <c r="SHL29" s="388"/>
      <c r="SHM29" s="388"/>
      <c r="SHN29" s="388"/>
      <c r="SHO29" s="388"/>
      <c r="SHP29" s="388"/>
      <c r="SHQ29" s="388"/>
      <c r="SHR29" s="388"/>
      <c r="SHS29" s="388"/>
      <c r="SHT29" s="388"/>
      <c r="SHU29" s="388"/>
      <c r="SHV29" s="388"/>
      <c r="SHW29" s="388"/>
      <c r="SHX29" s="388"/>
      <c r="SHY29" s="388"/>
      <c r="SHZ29" s="388"/>
      <c r="SIA29" s="388"/>
      <c r="SIB29" s="388"/>
      <c r="SIC29" s="388"/>
      <c r="SID29" s="388"/>
      <c r="SIE29" s="388"/>
      <c r="SIF29" s="388"/>
      <c r="SIG29" s="388"/>
      <c r="SIH29" s="388"/>
      <c r="SII29" s="388"/>
      <c r="SIJ29" s="388"/>
      <c r="SIK29" s="388"/>
      <c r="SIL29" s="388"/>
      <c r="SIM29" s="388"/>
      <c r="SIN29" s="388"/>
      <c r="SIO29" s="388"/>
      <c r="SIP29" s="388"/>
      <c r="SIQ29" s="388"/>
      <c r="SIR29" s="388"/>
      <c r="SIS29" s="388"/>
      <c r="SIT29" s="388"/>
      <c r="SIU29" s="388"/>
      <c r="SIV29" s="388"/>
      <c r="SIW29" s="388"/>
      <c r="SIX29" s="388"/>
      <c r="SIY29" s="388"/>
      <c r="SIZ29" s="388"/>
      <c r="SJA29" s="388"/>
      <c r="SJB29" s="388"/>
      <c r="SJC29" s="388"/>
      <c r="SJD29" s="388"/>
      <c r="SJE29" s="388"/>
      <c r="SJF29" s="388"/>
      <c r="SJG29" s="388"/>
      <c r="SJH29" s="388"/>
      <c r="SJI29" s="388"/>
      <c r="SJJ29" s="388"/>
      <c r="SJK29" s="388"/>
      <c r="SJL29" s="388"/>
      <c r="SJM29" s="388"/>
      <c r="SJN29" s="388"/>
      <c r="SJO29" s="388"/>
      <c r="SJP29" s="388"/>
      <c r="SJQ29" s="388"/>
      <c r="SJR29" s="388"/>
      <c r="SJS29" s="388"/>
      <c r="SJT29" s="388"/>
      <c r="SJU29" s="388"/>
      <c r="SJV29" s="388"/>
      <c r="SJW29" s="388"/>
      <c r="SJX29" s="388"/>
      <c r="SJY29" s="388"/>
      <c r="SJZ29" s="388"/>
      <c r="SKA29" s="388"/>
      <c r="SKB29" s="388"/>
      <c r="SKC29" s="388"/>
      <c r="SKD29" s="388"/>
      <c r="SKE29" s="388"/>
      <c r="SKF29" s="388"/>
      <c r="SKG29" s="388"/>
      <c r="SKH29" s="388"/>
      <c r="SKI29" s="388"/>
      <c r="SKJ29" s="388"/>
      <c r="SKK29" s="388"/>
      <c r="SKL29" s="388"/>
      <c r="SKM29" s="388"/>
      <c r="SKN29" s="388"/>
      <c r="SKO29" s="388"/>
      <c r="SKP29" s="388"/>
      <c r="SKQ29" s="388"/>
      <c r="SKR29" s="388"/>
      <c r="SKS29" s="388"/>
      <c r="SKT29" s="388"/>
      <c r="SKU29" s="388"/>
      <c r="SKV29" s="388"/>
      <c r="SKW29" s="388"/>
      <c r="SKX29" s="388"/>
      <c r="SKY29" s="388"/>
      <c r="SKZ29" s="388"/>
      <c r="SLA29" s="388"/>
      <c r="SLB29" s="388"/>
      <c r="SLC29" s="388"/>
      <c r="SLD29" s="388"/>
      <c r="SLE29" s="388"/>
      <c r="SLF29" s="388"/>
      <c r="SLG29" s="388"/>
      <c r="SLH29" s="388"/>
      <c r="SLI29" s="388"/>
      <c r="SLJ29" s="388"/>
      <c r="SLK29" s="388"/>
      <c r="SLL29" s="388"/>
      <c r="SLM29" s="388"/>
      <c r="SLN29" s="388"/>
      <c r="SLO29" s="388"/>
      <c r="SLP29" s="388"/>
      <c r="SLQ29" s="388"/>
      <c r="SLR29" s="388"/>
      <c r="SLS29" s="388"/>
      <c r="SLT29" s="388"/>
      <c r="SLU29" s="388"/>
      <c r="SLV29" s="388"/>
      <c r="SLW29" s="388"/>
      <c r="SLX29" s="388"/>
      <c r="SLY29" s="388"/>
      <c r="SLZ29" s="388"/>
      <c r="SMA29" s="388"/>
      <c r="SMB29" s="388"/>
      <c r="SMC29" s="388"/>
      <c r="SMD29" s="388"/>
      <c r="SME29" s="388"/>
      <c r="SMF29" s="388"/>
      <c r="SMG29" s="388"/>
      <c r="SMH29" s="388"/>
      <c r="SMI29" s="388"/>
      <c r="SMJ29" s="388"/>
      <c r="SMK29" s="388"/>
      <c r="SML29" s="388"/>
      <c r="SMM29" s="388"/>
      <c r="SMN29" s="388"/>
      <c r="SMO29" s="388"/>
      <c r="SMP29" s="388"/>
      <c r="SMQ29" s="388"/>
      <c r="SMR29" s="388"/>
      <c r="SMS29" s="388"/>
      <c r="SMT29" s="388"/>
      <c r="SMU29" s="388"/>
      <c r="SMV29" s="388"/>
      <c r="SMW29" s="388"/>
      <c r="SMX29" s="388"/>
      <c r="SMY29" s="388"/>
      <c r="SMZ29" s="388"/>
      <c r="SNA29" s="388"/>
      <c r="SNB29" s="388"/>
      <c r="SNC29" s="388"/>
      <c r="SND29" s="388"/>
      <c r="SNE29" s="388"/>
      <c r="SNF29" s="388"/>
      <c r="SNG29" s="388"/>
      <c r="SNH29" s="388"/>
      <c r="SNI29" s="388"/>
      <c r="SNJ29" s="388"/>
      <c r="SNK29" s="388"/>
      <c r="SNL29" s="388"/>
      <c r="SNM29" s="388"/>
      <c r="SNN29" s="388"/>
      <c r="SNO29" s="388"/>
      <c r="SNP29" s="388"/>
      <c r="SNQ29" s="388"/>
      <c r="SNR29" s="388"/>
      <c r="SNS29" s="388"/>
      <c r="SNT29" s="388"/>
      <c r="SNU29" s="388"/>
      <c r="SNV29" s="388"/>
      <c r="SNW29" s="388"/>
      <c r="SNX29" s="388"/>
      <c r="SNY29" s="388"/>
      <c r="SNZ29" s="388"/>
      <c r="SOA29" s="388"/>
      <c r="SOB29" s="388"/>
      <c r="SOC29" s="388"/>
      <c r="SOD29" s="388"/>
      <c r="SOE29" s="388"/>
      <c r="SOF29" s="388"/>
      <c r="SOG29" s="388"/>
      <c r="SOH29" s="388"/>
      <c r="SOI29" s="388"/>
      <c r="SOJ29" s="388"/>
      <c r="SOK29" s="388"/>
      <c r="SOL29" s="388"/>
      <c r="SOM29" s="388"/>
      <c r="SON29" s="388"/>
      <c r="SOO29" s="388"/>
      <c r="SOP29" s="388"/>
      <c r="SOQ29" s="388"/>
      <c r="SOR29" s="388"/>
      <c r="SOS29" s="388"/>
      <c r="SOT29" s="388"/>
      <c r="SOU29" s="388"/>
      <c r="SOV29" s="388"/>
      <c r="SOW29" s="388"/>
      <c r="SOX29" s="388"/>
      <c r="SOY29" s="388"/>
      <c r="SOZ29" s="388"/>
      <c r="SPA29" s="388"/>
      <c r="SPB29" s="388"/>
      <c r="SPC29" s="388"/>
      <c r="SPD29" s="388"/>
      <c r="SPE29" s="388"/>
      <c r="SPF29" s="388"/>
      <c r="SPG29" s="388"/>
      <c r="SPH29" s="388"/>
      <c r="SPI29" s="388"/>
      <c r="SPJ29" s="388"/>
      <c r="SPK29" s="388"/>
      <c r="SPL29" s="388"/>
      <c r="SPM29" s="388"/>
      <c r="SPN29" s="388"/>
      <c r="SPO29" s="388"/>
      <c r="SPP29" s="388"/>
      <c r="SPQ29" s="388"/>
      <c r="SPR29" s="388"/>
      <c r="SPS29" s="388"/>
      <c r="SPT29" s="388"/>
      <c r="SPU29" s="388"/>
      <c r="SPV29" s="388"/>
      <c r="SPW29" s="388"/>
      <c r="SPX29" s="388"/>
      <c r="SPY29" s="388"/>
      <c r="SPZ29" s="388"/>
      <c r="SQA29" s="388"/>
      <c r="SQB29" s="388"/>
      <c r="SQC29" s="388"/>
      <c r="SQD29" s="388"/>
      <c r="SQE29" s="388"/>
      <c r="SQF29" s="388"/>
      <c r="SQG29" s="388"/>
      <c r="SQH29" s="388"/>
      <c r="SQI29" s="388"/>
      <c r="SQJ29" s="388"/>
      <c r="SQK29" s="388"/>
      <c r="SQL29" s="388"/>
      <c r="SQM29" s="388"/>
      <c r="SQN29" s="388"/>
      <c r="SQO29" s="388"/>
      <c r="SQP29" s="388"/>
      <c r="SQQ29" s="388"/>
      <c r="SQR29" s="388"/>
      <c r="SQS29" s="388"/>
      <c r="SQT29" s="388"/>
      <c r="SQU29" s="388"/>
      <c r="SQV29" s="388"/>
      <c r="SQW29" s="388"/>
      <c r="SQX29" s="388"/>
      <c r="SQY29" s="388"/>
      <c r="SQZ29" s="388"/>
      <c r="SRA29" s="388"/>
      <c r="SRB29" s="388"/>
      <c r="SRC29" s="388"/>
      <c r="SRD29" s="388"/>
      <c r="SRE29" s="388"/>
      <c r="SRF29" s="388"/>
      <c r="SRG29" s="388"/>
      <c r="SRH29" s="388"/>
      <c r="SRI29" s="388"/>
      <c r="SRJ29" s="388"/>
      <c r="SRK29" s="388"/>
      <c r="SRL29" s="388"/>
      <c r="SRM29" s="388"/>
      <c r="SRN29" s="388"/>
      <c r="SRO29" s="388"/>
      <c r="SRP29" s="388"/>
      <c r="SRQ29" s="388"/>
      <c r="SRR29" s="388"/>
      <c r="SRS29" s="388"/>
      <c r="SRT29" s="388"/>
      <c r="SRU29" s="388"/>
      <c r="SRV29" s="388"/>
      <c r="SRW29" s="388"/>
      <c r="SRX29" s="388"/>
      <c r="SRY29" s="388"/>
      <c r="SRZ29" s="388"/>
      <c r="SSA29" s="388"/>
      <c r="SSB29" s="388"/>
      <c r="SSC29" s="388"/>
      <c r="SSD29" s="388"/>
      <c r="SSE29" s="388"/>
      <c r="SSF29" s="388"/>
      <c r="SSG29" s="388"/>
      <c r="SSH29" s="388"/>
      <c r="SSI29" s="388"/>
      <c r="SSJ29" s="388"/>
      <c r="SSK29" s="388"/>
      <c r="SSL29" s="388"/>
      <c r="SSM29" s="388"/>
      <c r="SSN29" s="388"/>
      <c r="SSO29" s="388"/>
      <c r="SSP29" s="388"/>
      <c r="SSQ29" s="388"/>
      <c r="SSR29" s="388"/>
      <c r="SSS29" s="388"/>
      <c r="SST29" s="388"/>
      <c r="SSU29" s="388"/>
      <c r="SSV29" s="388"/>
      <c r="SSW29" s="388"/>
      <c r="SSX29" s="388"/>
      <c r="SSY29" s="388"/>
      <c r="SSZ29" s="388"/>
      <c r="STA29" s="388"/>
      <c r="STB29" s="388"/>
      <c r="STC29" s="388"/>
      <c r="STD29" s="388"/>
      <c r="STE29" s="388"/>
      <c r="STF29" s="388"/>
      <c r="STG29" s="388"/>
      <c r="STH29" s="388"/>
      <c r="STI29" s="388"/>
      <c r="STJ29" s="388"/>
      <c r="STK29" s="388"/>
      <c r="STL29" s="388"/>
      <c r="STM29" s="388"/>
      <c r="STN29" s="388"/>
      <c r="STO29" s="388"/>
      <c r="STP29" s="388"/>
      <c r="STQ29" s="388"/>
      <c r="STR29" s="388"/>
      <c r="STS29" s="388"/>
      <c r="STT29" s="388"/>
      <c r="STU29" s="388"/>
      <c r="STV29" s="388"/>
      <c r="STW29" s="388"/>
      <c r="STX29" s="388"/>
      <c r="STY29" s="388"/>
      <c r="STZ29" s="388"/>
      <c r="SUA29" s="388"/>
      <c r="SUB29" s="388"/>
      <c r="SUC29" s="388"/>
      <c r="SUD29" s="388"/>
      <c r="SUE29" s="388"/>
      <c r="SUF29" s="388"/>
      <c r="SUG29" s="388"/>
      <c r="SUH29" s="388"/>
      <c r="SUI29" s="388"/>
      <c r="SUJ29" s="388"/>
      <c r="SUK29" s="388"/>
      <c r="SUL29" s="388"/>
      <c r="SUM29" s="388"/>
      <c r="SUN29" s="388"/>
      <c r="SUO29" s="388"/>
      <c r="SUP29" s="388"/>
      <c r="SUQ29" s="388"/>
      <c r="SUR29" s="388"/>
      <c r="SUS29" s="388"/>
      <c r="SUT29" s="388"/>
      <c r="SUU29" s="388"/>
      <c r="SUV29" s="388"/>
      <c r="SUW29" s="388"/>
      <c r="SUX29" s="388"/>
      <c r="SUY29" s="388"/>
      <c r="SUZ29" s="388"/>
      <c r="SVA29" s="388"/>
      <c r="SVB29" s="388"/>
      <c r="SVC29" s="388"/>
      <c r="SVD29" s="388"/>
      <c r="SVE29" s="388"/>
      <c r="SVF29" s="388"/>
      <c r="SVG29" s="388"/>
      <c r="SVH29" s="388"/>
      <c r="SVI29" s="388"/>
      <c r="SVJ29" s="388"/>
      <c r="SVK29" s="388"/>
      <c r="SVL29" s="388"/>
      <c r="SVM29" s="388"/>
      <c r="SVN29" s="388"/>
      <c r="SVO29" s="388"/>
      <c r="SVP29" s="388"/>
      <c r="SVQ29" s="388"/>
      <c r="SVR29" s="388"/>
      <c r="SVS29" s="388"/>
      <c r="SVT29" s="388"/>
      <c r="SVU29" s="388"/>
      <c r="SVV29" s="388"/>
      <c r="SVW29" s="388"/>
      <c r="SVX29" s="388"/>
      <c r="SVY29" s="388"/>
      <c r="SVZ29" s="388"/>
      <c r="SWA29" s="388"/>
      <c r="SWB29" s="388"/>
      <c r="SWC29" s="388"/>
      <c r="SWD29" s="388"/>
      <c r="SWE29" s="388"/>
      <c r="SWF29" s="388"/>
      <c r="SWG29" s="388"/>
      <c r="SWH29" s="388"/>
      <c r="SWI29" s="388"/>
      <c r="SWJ29" s="388"/>
      <c r="SWK29" s="388"/>
      <c r="SWL29" s="388"/>
      <c r="SWM29" s="388"/>
      <c r="SWN29" s="388"/>
      <c r="SWO29" s="388"/>
      <c r="SWP29" s="388"/>
      <c r="SWQ29" s="388"/>
      <c r="SWR29" s="388"/>
      <c r="SWS29" s="388"/>
      <c r="SWT29" s="388"/>
      <c r="SWU29" s="388"/>
      <c r="SWV29" s="388"/>
      <c r="SWW29" s="388"/>
      <c r="SWX29" s="388"/>
      <c r="SWY29" s="388"/>
      <c r="SWZ29" s="388"/>
      <c r="SXA29" s="388"/>
      <c r="SXB29" s="388"/>
      <c r="SXC29" s="388"/>
      <c r="SXD29" s="388"/>
      <c r="SXE29" s="388"/>
      <c r="SXF29" s="388"/>
      <c r="SXG29" s="388"/>
      <c r="SXH29" s="388"/>
      <c r="SXI29" s="388"/>
      <c r="SXJ29" s="388"/>
      <c r="SXK29" s="388"/>
      <c r="SXL29" s="388"/>
      <c r="SXM29" s="388"/>
      <c r="SXN29" s="388"/>
      <c r="SXO29" s="388"/>
      <c r="SXP29" s="388"/>
      <c r="SXQ29" s="388"/>
      <c r="SXR29" s="388"/>
      <c r="SXS29" s="388"/>
      <c r="SXT29" s="388"/>
      <c r="SXU29" s="388"/>
      <c r="SXV29" s="388"/>
      <c r="SXW29" s="388"/>
      <c r="SXX29" s="388"/>
      <c r="SXY29" s="388"/>
      <c r="SXZ29" s="388"/>
      <c r="SYA29" s="388"/>
      <c r="SYB29" s="388"/>
      <c r="SYC29" s="388"/>
      <c r="SYD29" s="388"/>
      <c r="SYE29" s="388"/>
      <c r="SYF29" s="388"/>
      <c r="SYG29" s="388"/>
      <c r="SYH29" s="388"/>
      <c r="SYI29" s="388"/>
      <c r="SYJ29" s="388"/>
      <c r="SYK29" s="388"/>
      <c r="SYL29" s="388"/>
      <c r="SYM29" s="388"/>
      <c r="SYN29" s="388"/>
      <c r="SYO29" s="388"/>
      <c r="SYP29" s="388"/>
      <c r="SYQ29" s="388"/>
      <c r="SYR29" s="388"/>
      <c r="SYS29" s="388"/>
      <c r="SYT29" s="388"/>
      <c r="SYU29" s="388"/>
      <c r="SYV29" s="388"/>
      <c r="SYW29" s="388"/>
      <c r="SYX29" s="388"/>
      <c r="SYY29" s="388"/>
      <c r="SYZ29" s="388"/>
      <c r="SZA29" s="388"/>
      <c r="SZB29" s="388"/>
      <c r="SZC29" s="388"/>
      <c r="SZD29" s="388"/>
      <c r="SZE29" s="388"/>
      <c r="SZF29" s="388"/>
      <c r="SZG29" s="388"/>
      <c r="SZH29" s="388"/>
      <c r="SZI29" s="388"/>
      <c r="SZJ29" s="388"/>
      <c r="SZK29" s="388"/>
      <c r="SZL29" s="388"/>
      <c r="SZM29" s="388"/>
      <c r="SZN29" s="388"/>
      <c r="SZO29" s="388"/>
      <c r="SZP29" s="388"/>
      <c r="SZQ29" s="388"/>
      <c r="SZR29" s="388"/>
      <c r="SZS29" s="388"/>
      <c r="SZT29" s="388"/>
      <c r="SZU29" s="388"/>
      <c r="SZV29" s="388"/>
      <c r="SZW29" s="388"/>
      <c r="SZX29" s="388"/>
      <c r="SZY29" s="388"/>
      <c r="SZZ29" s="388"/>
      <c r="TAA29" s="388"/>
      <c r="TAB29" s="388"/>
      <c r="TAC29" s="388"/>
      <c r="TAD29" s="388"/>
      <c r="TAE29" s="388"/>
      <c r="TAF29" s="388"/>
      <c r="TAG29" s="388"/>
      <c r="TAH29" s="388"/>
      <c r="TAI29" s="388"/>
      <c r="TAJ29" s="388"/>
      <c r="TAK29" s="388"/>
      <c r="TAL29" s="388"/>
      <c r="TAM29" s="388"/>
      <c r="TAN29" s="388"/>
      <c r="TAO29" s="388"/>
      <c r="TAP29" s="388"/>
      <c r="TAQ29" s="388"/>
      <c r="TAR29" s="388"/>
      <c r="TAS29" s="388"/>
      <c r="TAT29" s="388"/>
      <c r="TAU29" s="388"/>
      <c r="TAV29" s="388"/>
      <c r="TAW29" s="388"/>
      <c r="TAX29" s="388"/>
      <c r="TAY29" s="388"/>
      <c r="TAZ29" s="388"/>
      <c r="TBA29" s="388"/>
      <c r="TBB29" s="388"/>
      <c r="TBC29" s="388"/>
      <c r="TBD29" s="388"/>
      <c r="TBE29" s="388"/>
      <c r="TBF29" s="388"/>
      <c r="TBG29" s="388"/>
      <c r="TBH29" s="388"/>
      <c r="TBI29" s="388"/>
      <c r="TBJ29" s="388"/>
      <c r="TBK29" s="388"/>
      <c r="TBL29" s="388"/>
      <c r="TBM29" s="388"/>
      <c r="TBN29" s="388"/>
      <c r="TBO29" s="388"/>
      <c r="TBP29" s="388"/>
      <c r="TBQ29" s="388"/>
      <c r="TBR29" s="388"/>
      <c r="TBS29" s="388"/>
      <c r="TBT29" s="388"/>
      <c r="TBU29" s="388"/>
      <c r="TBV29" s="388"/>
      <c r="TBW29" s="388"/>
      <c r="TBX29" s="388"/>
      <c r="TBY29" s="388"/>
      <c r="TBZ29" s="388"/>
      <c r="TCA29" s="388"/>
      <c r="TCB29" s="388"/>
      <c r="TCC29" s="388"/>
      <c r="TCD29" s="388"/>
      <c r="TCE29" s="388"/>
      <c r="TCF29" s="388"/>
      <c r="TCG29" s="388"/>
      <c r="TCH29" s="388"/>
      <c r="TCI29" s="388"/>
      <c r="TCJ29" s="388"/>
      <c r="TCK29" s="388"/>
      <c r="TCL29" s="388"/>
      <c r="TCM29" s="388"/>
      <c r="TCN29" s="388"/>
      <c r="TCO29" s="388"/>
      <c r="TCP29" s="388"/>
      <c r="TCQ29" s="388"/>
      <c r="TCR29" s="388"/>
      <c r="TCS29" s="388"/>
      <c r="TCT29" s="388"/>
      <c r="TCU29" s="388"/>
      <c r="TCV29" s="388"/>
      <c r="TCW29" s="388"/>
      <c r="TCX29" s="388"/>
      <c r="TCY29" s="388"/>
      <c r="TCZ29" s="388"/>
      <c r="TDA29" s="388"/>
      <c r="TDB29" s="388"/>
      <c r="TDC29" s="388"/>
      <c r="TDD29" s="388"/>
      <c r="TDE29" s="388"/>
      <c r="TDF29" s="388"/>
      <c r="TDG29" s="388"/>
      <c r="TDH29" s="388"/>
      <c r="TDI29" s="388"/>
      <c r="TDJ29" s="388"/>
      <c r="TDK29" s="388"/>
      <c r="TDL29" s="388"/>
      <c r="TDM29" s="388"/>
      <c r="TDN29" s="388"/>
      <c r="TDO29" s="388"/>
      <c r="TDP29" s="388"/>
      <c r="TDQ29" s="388"/>
      <c r="TDR29" s="388"/>
      <c r="TDS29" s="388"/>
      <c r="TDT29" s="388"/>
      <c r="TDU29" s="388"/>
      <c r="TDV29" s="388"/>
      <c r="TDW29" s="388"/>
      <c r="TDX29" s="388"/>
      <c r="TDY29" s="388"/>
      <c r="TDZ29" s="388"/>
      <c r="TEA29" s="388"/>
      <c r="TEB29" s="388"/>
      <c r="TEC29" s="388"/>
      <c r="TED29" s="388"/>
      <c r="TEE29" s="388"/>
      <c r="TEF29" s="388"/>
      <c r="TEG29" s="388"/>
      <c r="TEH29" s="388"/>
      <c r="TEI29" s="388"/>
      <c r="TEJ29" s="388"/>
      <c r="TEK29" s="388"/>
      <c r="TEL29" s="388"/>
      <c r="TEM29" s="388"/>
      <c r="TEN29" s="388"/>
      <c r="TEO29" s="388"/>
      <c r="TEP29" s="388"/>
      <c r="TEQ29" s="388"/>
      <c r="TER29" s="388"/>
      <c r="TES29" s="388"/>
      <c r="TET29" s="388"/>
      <c r="TEU29" s="388"/>
      <c r="TEV29" s="388"/>
      <c r="TEW29" s="388"/>
      <c r="TEX29" s="388"/>
      <c r="TEY29" s="388"/>
      <c r="TEZ29" s="388"/>
      <c r="TFA29" s="388"/>
      <c r="TFB29" s="388"/>
      <c r="TFC29" s="388"/>
      <c r="TFD29" s="388"/>
      <c r="TFE29" s="388"/>
      <c r="TFF29" s="388"/>
      <c r="TFG29" s="388"/>
      <c r="TFH29" s="388"/>
      <c r="TFI29" s="388"/>
      <c r="TFJ29" s="388"/>
      <c r="TFK29" s="388"/>
      <c r="TFL29" s="388"/>
      <c r="TFM29" s="388"/>
      <c r="TFN29" s="388"/>
      <c r="TFO29" s="388"/>
      <c r="TFP29" s="388"/>
      <c r="TFQ29" s="388"/>
      <c r="TFR29" s="388"/>
      <c r="TFS29" s="388"/>
      <c r="TFT29" s="388"/>
      <c r="TFU29" s="388"/>
      <c r="TFV29" s="388"/>
      <c r="TFW29" s="388"/>
      <c r="TFX29" s="388"/>
      <c r="TFY29" s="388"/>
      <c r="TFZ29" s="388"/>
      <c r="TGA29" s="388"/>
      <c r="TGB29" s="388"/>
      <c r="TGC29" s="388"/>
      <c r="TGD29" s="388"/>
      <c r="TGE29" s="388"/>
      <c r="TGF29" s="388"/>
      <c r="TGG29" s="388"/>
      <c r="TGH29" s="388"/>
      <c r="TGI29" s="388"/>
      <c r="TGJ29" s="388"/>
      <c r="TGK29" s="388"/>
      <c r="TGL29" s="388"/>
      <c r="TGM29" s="388"/>
      <c r="TGN29" s="388"/>
      <c r="TGO29" s="388"/>
      <c r="TGP29" s="388"/>
      <c r="TGQ29" s="388"/>
      <c r="TGR29" s="388"/>
      <c r="TGS29" s="388"/>
      <c r="TGT29" s="388"/>
      <c r="TGU29" s="388"/>
      <c r="TGV29" s="388"/>
      <c r="TGW29" s="388"/>
      <c r="TGX29" s="388"/>
      <c r="TGY29" s="388"/>
      <c r="TGZ29" s="388"/>
      <c r="THA29" s="388"/>
      <c r="THB29" s="388"/>
      <c r="THC29" s="388"/>
      <c r="THD29" s="388"/>
      <c r="THE29" s="388"/>
      <c r="THF29" s="388"/>
      <c r="THG29" s="388"/>
      <c r="THH29" s="388"/>
      <c r="THI29" s="388"/>
      <c r="THJ29" s="388"/>
      <c r="THK29" s="388"/>
      <c r="THL29" s="388"/>
      <c r="THM29" s="388"/>
      <c r="THN29" s="388"/>
      <c r="THO29" s="388"/>
      <c r="THP29" s="388"/>
      <c r="THQ29" s="388"/>
      <c r="THR29" s="388"/>
      <c r="THS29" s="388"/>
      <c r="THT29" s="388"/>
      <c r="THU29" s="388"/>
      <c r="THV29" s="388"/>
      <c r="THW29" s="388"/>
      <c r="THX29" s="388"/>
      <c r="THY29" s="388"/>
      <c r="THZ29" s="388"/>
      <c r="TIA29" s="388"/>
      <c r="TIB29" s="388"/>
      <c r="TIC29" s="388"/>
      <c r="TID29" s="388"/>
      <c r="TIE29" s="388"/>
      <c r="TIF29" s="388"/>
      <c r="TIG29" s="388"/>
      <c r="TIH29" s="388"/>
      <c r="TII29" s="388"/>
      <c r="TIJ29" s="388"/>
      <c r="TIK29" s="388"/>
      <c r="TIL29" s="388"/>
      <c r="TIM29" s="388"/>
      <c r="TIN29" s="388"/>
      <c r="TIO29" s="388"/>
      <c r="TIP29" s="388"/>
      <c r="TIQ29" s="388"/>
      <c r="TIR29" s="388"/>
      <c r="TIS29" s="388"/>
      <c r="TIT29" s="388"/>
      <c r="TIU29" s="388"/>
      <c r="TIV29" s="388"/>
      <c r="TIW29" s="388"/>
      <c r="TIX29" s="388"/>
      <c r="TIY29" s="388"/>
      <c r="TIZ29" s="388"/>
      <c r="TJA29" s="388"/>
      <c r="TJB29" s="388"/>
      <c r="TJC29" s="388"/>
      <c r="TJD29" s="388"/>
      <c r="TJE29" s="388"/>
      <c r="TJF29" s="388"/>
      <c r="TJG29" s="388"/>
      <c r="TJH29" s="388"/>
      <c r="TJI29" s="388"/>
      <c r="TJJ29" s="388"/>
      <c r="TJK29" s="388"/>
      <c r="TJL29" s="388"/>
      <c r="TJM29" s="388"/>
      <c r="TJN29" s="388"/>
      <c r="TJO29" s="388"/>
      <c r="TJP29" s="388"/>
      <c r="TJQ29" s="388"/>
      <c r="TJR29" s="388"/>
      <c r="TJS29" s="388"/>
      <c r="TJT29" s="388"/>
      <c r="TJU29" s="388"/>
      <c r="TJV29" s="388"/>
      <c r="TJW29" s="388"/>
      <c r="TJX29" s="388"/>
      <c r="TJY29" s="388"/>
      <c r="TJZ29" s="388"/>
      <c r="TKA29" s="388"/>
      <c r="TKB29" s="388"/>
      <c r="TKC29" s="388"/>
      <c r="TKD29" s="388"/>
      <c r="TKE29" s="388"/>
      <c r="TKF29" s="388"/>
      <c r="TKG29" s="388"/>
      <c r="TKH29" s="388"/>
      <c r="TKI29" s="388"/>
      <c r="TKJ29" s="388"/>
      <c r="TKK29" s="388"/>
      <c r="TKL29" s="388"/>
      <c r="TKM29" s="388"/>
      <c r="TKN29" s="388"/>
      <c r="TKO29" s="388"/>
      <c r="TKP29" s="388"/>
      <c r="TKQ29" s="388"/>
      <c r="TKR29" s="388"/>
      <c r="TKS29" s="388"/>
      <c r="TKT29" s="388"/>
      <c r="TKU29" s="388"/>
      <c r="TKV29" s="388"/>
      <c r="TKW29" s="388"/>
      <c r="TKX29" s="388"/>
      <c r="TKY29" s="388"/>
      <c r="TKZ29" s="388"/>
      <c r="TLA29" s="388"/>
      <c r="TLB29" s="388"/>
      <c r="TLC29" s="388"/>
      <c r="TLD29" s="388"/>
      <c r="TLE29" s="388"/>
      <c r="TLF29" s="388"/>
      <c r="TLG29" s="388"/>
      <c r="TLH29" s="388"/>
      <c r="TLI29" s="388"/>
      <c r="TLJ29" s="388"/>
      <c r="TLK29" s="388"/>
      <c r="TLL29" s="388"/>
      <c r="TLM29" s="388"/>
      <c r="TLN29" s="388"/>
      <c r="TLO29" s="388"/>
      <c r="TLP29" s="388"/>
      <c r="TLQ29" s="388"/>
      <c r="TLR29" s="388"/>
      <c r="TLS29" s="388"/>
      <c r="TLT29" s="388"/>
      <c r="TLU29" s="388"/>
      <c r="TLV29" s="388"/>
      <c r="TLW29" s="388"/>
      <c r="TLX29" s="388"/>
      <c r="TLY29" s="388"/>
      <c r="TLZ29" s="388"/>
      <c r="TMA29" s="388"/>
      <c r="TMB29" s="388"/>
      <c r="TMC29" s="388"/>
      <c r="TMD29" s="388"/>
      <c r="TME29" s="388"/>
      <c r="TMF29" s="388"/>
      <c r="TMG29" s="388"/>
      <c r="TMH29" s="388"/>
      <c r="TMI29" s="388"/>
      <c r="TMJ29" s="388"/>
      <c r="TMK29" s="388"/>
      <c r="TML29" s="388"/>
      <c r="TMM29" s="388"/>
      <c r="TMN29" s="388"/>
      <c r="TMO29" s="388"/>
      <c r="TMP29" s="388"/>
      <c r="TMQ29" s="388"/>
      <c r="TMR29" s="388"/>
      <c r="TMS29" s="388"/>
      <c r="TMT29" s="388"/>
      <c r="TMU29" s="388"/>
      <c r="TMV29" s="388"/>
      <c r="TMW29" s="388"/>
      <c r="TMX29" s="388"/>
      <c r="TMY29" s="388"/>
      <c r="TMZ29" s="388"/>
      <c r="TNA29" s="388"/>
      <c r="TNB29" s="388"/>
      <c r="TNC29" s="388"/>
      <c r="TND29" s="388"/>
      <c r="TNE29" s="388"/>
      <c r="TNF29" s="388"/>
      <c r="TNG29" s="388"/>
      <c r="TNH29" s="388"/>
      <c r="TNI29" s="388"/>
      <c r="TNJ29" s="388"/>
      <c r="TNK29" s="388"/>
      <c r="TNL29" s="388"/>
      <c r="TNM29" s="388"/>
      <c r="TNN29" s="388"/>
      <c r="TNO29" s="388"/>
      <c r="TNP29" s="388"/>
      <c r="TNQ29" s="388"/>
      <c r="TNR29" s="388"/>
      <c r="TNS29" s="388"/>
      <c r="TNT29" s="388"/>
      <c r="TNU29" s="388"/>
      <c r="TNV29" s="388"/>
      <c r="TNW29" s="388"/>
      <c r="TNX29" s="388"/>
      <c r="TNY29" s="388"/>
      <c r="TNZ29" s="388"/>
      <c r="TOA29" s="388"/>
      <c r="TOB29" s="388"/>
      <c r="TOC29" s="388"/>
      <c r="TOD29" s="388"/>
      <c r="TOE29" s="388"/>
      <c r="TOF29" s="388"/>
      <c r="TOG29" s="388"/>
      <c r="TOH29" s="388"/>
      <c r="TOI29" s="388"/>
      <c r="TOJ29" s="388"/>
      <c r="TOK29" s="388"/>
      <c r="TOL29" s="388"/>
      <c r="TOM29" s="388"/>
      <c r="TON29" s="388"/>
      <c r="TOO29" s="388"/>
      <c r="TOP29" s="388"/>
      <c r="TOQ29" s="388"/>
      <c r="TOR29" s="388"/>
      <c r="TOS29" s="388"/>
      <c r="TOT29" s="388"/>
      <c r="TOU29" s="388"/>
      <c r="TOV29" s="388"/>
      <c r="TOW29" s="388"/>
      <c r="TOX29" s="388"/>
      <c r="TOY29" s="388"/>
      <c r="TOZ29" s="388"/>
      <c r="TPA29" s="388"/>
      <c r="TPB29" s="388"/>
      <c r="TPC29" s="388"/>
      <c r="TPD29" s="388"/>
      <c r="TPE29" s="388"/>
      <c r="TPF29" s="388"/>
      <c r="TPG29" s="388"/>
      <c r="TPH29" s="388"/>
      <c r="TPI29" s="388"/>
      <c r="TPJ29" s="388"/>
      <c r="TPK29" s="388"/>
      <c r="TPL29" s="388"/>
      <c r="TPM29" s="388"/>
      <c r="TPN29" s="388"/>
      <c r="TPO29" s="388"/>
      <c r="TPP29" s="388"/>
      <c r="TPQ29" s="388"/>
      <c r="TPR29" s="388"/>
      <c r="TPS29" s="388"/>
      <c r="TPT29" s="388"/>
      <c r="TPU29" s="388"/>
      <c r="TPV29" s="388"/>
      <c r="TPW29" s="388"/>
      <c r="TPX29" s="388"/>
      <c r="TPY29" s="388"/>
      <c r="TPZ29" s="388"/>
      <c r="TQA29" s="388"/>
      <c r="TQB29" s="388"/>
      <c r="TQC29" s="388"/>
      <c r="TQD29" s="388"/>
      <c r="TQE29" s="388"/>
      <c r="TQF29" s="388"/>
      <c r="TQG29" s="388"/>
      <c r="TQH29" s="388"/>
      <c r="TQI29" s="388"/>
      <c r="TQJ29" s="388"/>
      <c r="TQK29" s="388"/>
      <c r="TQL29" s="388"/>
      <c r="TQM29" s="388"/>
      <c r="TQN29" s="388"/>
      <c r="TQO29" s="388"/>
      <c r="TQP29" s="388"/>
      <c r="TQQ29" s="388"/>
      <c r="TQR29" s="388"/>
      <c r="TQS29" s="388"/>
      <c r="TQT29" s="388"/>
      <c r="TQU29" s="388"/>
      <c r="TQV29" s="388"/>
      <c r="TQW29" s="388"/>
      <c r="TQX29" s="388"/>
      <c r="TQY29" s="388"/>
      <c r="TQZ29" s="388"/>
      <c r="TRA29" s="388"/>
      <c r="TRB29" s="388"/>
      <c r="TRC29" s="388"/>
      <c r="TRD29" s="388"/>
      <c r="TRE29" s="388"/>
      <c r="TRF29" s="388"/>
      <c r="TRG29" s="388"/>
      <c r="TRH29" s="388"/>
      <c r="TRI29" s="388"/>
      <c r="TRJ29" s="388"/>
      <c r="TRK29" s="388"/>
      <c r="TRL29" s="388"/>
      <c r="TRM29" s="388"/>
      <c r="TRN29" s="388"/>
      <c r="TRO29" s="388"/>
      <c r="TRP29" s="388"/>
      <c r="TRQ29" s="388"/>
      <c r="TRR29" s="388"/>
      <c r="TRS29" s="388"/>
      <c r="TRT29" s="388"/>
      <c r="TRU29" s="388"/>
      <c r="TRV29" s="388"/>
      <c r="TRW29" s="388"/>
      <c r="TRX29" s="388"/>
      <c r="TRY29" s="388"/>
      <c r="TRZ29" s="388"/>
      <c r="TSA29" s="388"/>
      <c r="TSB29" s="388"/>
      <c r="TSC29" s="388"/>
      <c r="TSD29" s="388"/>
      <c r="TSE29" s="388"/>
      <c r="TSF29" s="388"/>
      <c r="TSG29" s="388"/>
      <c r="TSH29" s="388"/>
      <c r="TSI29" s="388"/>
      <c r="TSJ29" s="388"/>
      <c r="TSK29" s="388"/>
      <c r="TSL29" s="388"/>
      <c r="TSM29" s="388"/>
      <c r="TSN29" s="388"/>
      <c r="TSO29" s="388"/>
      <c r="TSP29" s="388"/>
      <c r="TSQ29" s="388"/>
      <c r="TSR29" s="388"/>
      <c r="TSS29" s="388"/>
      <c r="TST29" s="388"/>
      <c r="TSU29" s="388"/>
      <c r="TSV29" s="388"/>
      <c r="TSW29" s="388"/>
      <c r="TSX29" s="388"/>
      <c r="TSY29" s="388"/>
      <c r="TSZ29" s="388"/>
      <c r="TTA29" s="388"/>
      <c r="TTB29" s="388"/>
      <c r="TTC29" s="388"/>
      <c r="TTD29" s="388"/>
      <c r="TTE29" s="388"/>
      <c r="TTF29" s="388"/>
      <c r="TTG29" s="388"/>
      <c r="TTH29" s="388"/>
      <c r="TTI29" s="388"/>
      <c r="TTJ29" s="388"/>
      <c r="TTK29" s="388"/>
      <c r="TTL29" s="388"/>
      <c r="TTM29" s="388"/>
      <c r="TTN29" s="388"/>
      <c r="TTO29" s="388"/>
      <c r="TTP29" s="388"/>
      <c r="TTQ29" s="388"/>
      <c r="TTR29" s="388"/>
      <c r="TTS29" s="388"/>
      <c r="TTT29" s="388"/>
      <c r="TTU29" s="388"/>
      <c r="TTV29" s="388"/>
      <c r="TTW29" s="388"/>
      <c r="TTX29" s="388"/>
      <c r="TTY29" s="388"/>
      <c r="TTZ29" s="388"/>
      <c r="TUA29" s="388"/>
      <c r="TUB29" s="388"/>
      <c r="TUC29" s="388"/>
      <c r="TUD29" s="388"/>
      <c r="TUE29" s="388"/>
      <c r="TUF29" s="388"/>
      <c r="TUG29" s="388"/>
      <c r="TUH29" s="388"/>
      <c r="TUI29" s="388"/>
      <c r="TUJ29" s="388"/>
      <c r="TUK29" s="388"/>
      <c r="TUL29" s="388"/>
      <c r="TUM29" s="388"/>
      <c r="TUN29" s="388"/>
      <c r="TUO29" s="388"/>
      <c r="TUP29" s="388"/>
      <c r="TUQ29" s="388"/>
      <c r="TUR29" s="388"/>
      <c r="TUS29" s="388"/>
      <c r="TUT29" s="388"/>
      <c r="TUU29" s="388"/>
      <c r="TUV29" s="388"/>
      <c r="TUW29" s="388"/>
      <c r="TUX29" s="388"/>
      <c r="TUY29" s="388"/>
      <c r="TUZ29" s="388"/>
      <c r="TVA29" s="388"/>
      <c r="TVB29" s="388"/>
      <c r="TVC29" s="388"/>
      <c r="TVD29" s="388"/>
      <c r="TVE29" s="388"/>
      <c r="TVF29" s="388"/>
      <c r="TVG29" s="388"/>
      <c r="TVH29" s="388"/>
      <c r="TVI29" s="388"/>
      <c r="TVJ29" s="388"/>
      <c r="TVK29" s="388"/>
      <c r="TVL29" s="388"/>
      <c r="TVM29" s="388"/>
      <c r="TVN29" s="388"/>
      <c r="TVO29" s="388"/>
      <c r="TVP29" s="388"/>
      <c r="TVQ29" s="388"/>
      <c r="TVR29" s="388"/>
      <c r="TVS29" s="388"/>
      <c r="TVT29" s="388"/>
      <c r="TVU29" s="388"/>
      <c r="TVV29" s="388"/>
      <c r="TVW29" s="388"/>
      <c r="TVX29" s="388"/>
      <c r="TVY29" s="388"/>
      <c r="TVZ29" s="388"/>
      <c r="TWA29" s="388"/>
      <c r="TWB29" s="388"/>
      <c r="TWC29" s="388"/>
      <c r="TWD29" s="388"/>
      <c r="TWE29" s="388"/>
      <c r="TWF29" s="388"/>
      <c r="TWG29" s="388"/>
      <c r="TWH29" s="388"/>
      <c r="TWI29" s="388"/>
      <c r="TWJ29" s="388"/>
      <c r="TWK29" s="388"/>
      <c r="TWL29" s="388"/>
      <c r="TWM29" s="388"/>
      <c r="TWN29" s="388"/>
      <c r="TWO29" s="388"/>
      <c r="TWP29" s="388"/>
      <c r="TWQ29" s="388"/>
      <c r="TWR29" s="388"/>
      <c r="TWS29" s="388"/>
      <c r="TWT29" s="388"/>
      <c r="TWU29" s="388"/>
      <c r="TWV29" s="388"/>
      <c r="TWW29" s="388"/>
      <c r="TWX29" s="388"/>
      <c r="TWY29" s="388"/>
      <c r="TWZ29" s="388"/>
      <c r="TXA29" s="388"/>
      <c r="TXB29" s="388"/>
      <c r="TXC29" s="388"/>
      <c r="TXD29" s="388"/>
      <c r="TXE29" s="388"/>
      <c r="TXF29" s="388"/>
      <c r="TXG29" s="388"/>
      <c r="TXH29" s="388"/>
      <c r="TXI29" s="388"/>
      <c r="TXJ29" s="388"/>
      <c r="TXK29" s="388"/>
      <c r="TXL29" s="388"/>
      <c r="TXM29" s="388"/>
      <c r="TXN29" s="388"/>
      <c r="TXO29" s="388"/>
      <c r="TXP29" s="388"/>
      <c r="TXQ29" s="388"/>
      <c r="TXR29" s="388"/>
      <c r="TXS29" s="388"/>
      <c r="TXT29" s="388"/>
      <c r="TXU29" s="388"/>
      <c r="TXV29" s="388"/>
      <c r="TXW29" s="388"/>
      <c r="TXX29" s="388"/>
      <c r="TXY29" s="388"/>
      <c r="TXZ29" s="388"/>
      <c r="TYA29" s="388"/>
      <c r="TYB29" s="388"/>
      <c r="TYC29" s="388"/>
      <c r="TYD29" s="388"/>
      <c r="TYE29" s="388"/>
      <c r="TYF29" s="388"/>
      <c r="TYG29" s="388"/>
      <c r="TYH29" s="388"/>
      <c r="TYI29" s="388"/>
      <c r="TYJ29" s="388"/>
      <c r="TYK29" s="388"/>
      <c r="TYL29" s="388"/>
      <c r="TYM29" s="388"/>
      <c r="TYN29" s="388"/>
      <c r="TYO29" s="388"/>
      <c r="TYP29" s="388"/>
      <c r="TYQ29" s="388"/>
      <c r="TYR29" s="388"/>
      <c r="TYS29" s="388"/>
      <c r="TYT29" s="388"/>
      <c r="TYU29" s="388"/>
      <c r="TYV29" s="388"/>
      <c r="TYW29" s="388"/>
      <c r="TYX29" s="388"/>
      <c r="TYY29" s="388"/>
      <c r="TYZ29" s="388"/>
      <c r="TZA29" s="388"/>
      <c r="TZB29" s="388"/>
      <c r="TZC29" s="388"/>
      <c r="TZD29" s="388"/>
      <c r="TZE29" s="388"/>
      <c r="TZF29" s="388"/>
      <c r="TZG29" s="388"/>
      <c r="TZH29" s="388"/>
      <c r="TZI29" s="388"/>
      <c r="TZJ29" s="388"/>
      <c r="TZK29" s="388"/>
      <c r="TZL29" s="388"/>
      <c r="TZM29" s="388"/>
      <c r="TZN29" s="388"/>
      <c r="TZO29" s="388"/>
      <c r="TZP29" s="388"/>
      <c r="TZQ29" s="388"/>
      <c r="TZR29" s="388"/>
      <c r="TZS29" s="388"/>
      <c r="TZT29" s="388"/>
      <c r="TZU29" s="388"/>
      <c r="TZV29" s="388"/>
      <c r="TZW29" s="388"/>
      <c r="TZX29" s="388"/>
      <c r="TZY29" s="388"/>
      <c r="TZZ29" s="388"/>
      <c r="UAA29" s="388"/>
      <c r="UAB29" s="388"/>
      <c r="UAC29" s="388"/>
      <c r="UAD29" s="388"/>
      <c r="UAE29" s="388"/>
      <c r="UAF29" s="388"/>
      <c r="UAG29" s="388"/>
      <c r="UAH29" s="388"/>
      <c r="UAI29" s="388"/>
      <c r="UAJ29" s="388"/>
      <c r="UAK29" s="388"/>
      <c r="UAL29" s="388"/>
      <c r="UAM29" s="388"/>
      <c r="UAN29" s="388"/>
      <c r="UAO29" s="388"/>
      <c r="UAP29" s="388"/>
      <c r="UAQ29" s="388"/>
      <c r="UAR29" s="388"/>
      <c r="UAS29" s="388"/>
      <c r="UAT29" s="388"/>
      <c r="UAU29" s="388"/>
      <c r="UAV29" s="388"/>
      <c r="UAW29" s="388"/>
      <c r="UAX29" s="388"/>
      <c r="UAY29" s="388"/>
      <c r="UAZ29" s="388"/>
      <c r="UBA29" s="388"/>
      <c r="UBB29" s="388"/>
      <c r="UBC29" s="388"/>
      <c r="UBD29" s="388"/>
      <c r="UBE29" s="388"/>
      <c r="UBF29" s="388"/>
      <c r="UBG29" s="388"/>
      <c r="UBH29" s="388"/>
      <c r="UBI29" s="388"/>
      <c r="UBJ29" s="388"/>
      <c r="UBK29" s="388"/>
      <c r="UBL29" s="388"/>
      <c r="UBM29" s="388"/>
      <c r="UBN29" s="388"/>
      <c r="UBO29" s="388"/>
      <c r="UBP29" s="388"/>
      <c r="UBQ29" s="388"/>
      <c r="UBR29" s="388"/>
      <c r="UBS29" s="388"/>
      <c r="UBT29" s="388"/>
      <c r="UBU29" s="388"/>
      <c r="UBV29" s="388"/>
      <c r="UBW29" s="388"/>
      <c r="UBX29" s="388"/>
      <c r="UBY29" s="388"/>
      <c r="UBZ29" s="388"/>
      <c r="UCA29" s="388"/>
      <c r="UCB29" s="388"/>
      <c r="UCC29" s="388"/>
      <c r="UCD29" s="388"/>
      <c r="UCE29" s="388"/>
      <c r="UCF29" s="388"/>
      <c r="UCG29" s="388"/>
      <c r="UCH29" s="388"/>
      <c r="UCI29" s="388"/>
      <c r="UCJ29" s="388"/>
      <c r="UCK29" s="388"/>
      <c r="UCL29" s="388"/>
      <c r="UCM29" s="388"/>
      <c r="UCN29" s="388"/>
      <c r="UCO29" s="388"/>
      <c r="UCP29" s="388"/>
      <c r="UCQ29" s="388"/>
      <c r="UCR29" s="388"/>
      <c r="UCS29" s="388"/>
      <c r="UCT29" s="388"/>
      <c r="UCU29" s="388"/>
      <c r="UCV29" s="388"/>
      <c r="UCW29" s="388"/>
      <c r="UCX29" s="388"/>
      <c r="UCY29" s="388"/>
      <c r="UCZ29" s="388"/>
      <c r="UDA29" s="388"/>
      <c r="UDB29" s="388"/>
      <c r="UDC29" s="388"/>
      <c r="UDD29" s="388"/>
      <c r="UDE29" s="388"/>
      <c r="UDF29" s="388"/>
      <c r="UDG29" s="388"/>
      <c r="UDH29" s="388"/>
      <c r="UDI29" s="388"/>
      <c r="UDJ29" s="388"/>
      <c r="UDK29" s="388"/>
      <c r="UDL29" s="388"/>
      <c r="UDM29" s="388"/>
      <c r="UDN29" s="388"/>
      <c r="UDO29" s="388"/>
      <c r="UDP29" s="388"/>
      <c r="UDQ29" s="388"/>
      <c r="UDR29" s="388"/>
      <c r="UDS29" s="388"/>
      <c r="UDT29" s="388"/>
      <c r="UDU29" s="388"/>
      <c r="UDV29" s="388"/>
      <c r="UDW29" s="388"/>
      <c r="UDX29" s="388"/>
      <c r="UDY29" s="388"/>
      <c r="UDZ29" s="388"/>
      <c r="UEA29" s="388"/>
      <c r="UEB29" s="388"/>
      <c r="UEC29" s="388"/>
      <c r="UED29" s="388"/>
      <c r="UEE29" s="388"/>
      <c r="UEF29" s="388"/>
      <c r="UEG29" s="388"/>
      <c r="UEH29" s="388"/>
      <c r="UEI29" s="388"/>
      <c r="UEJ29" s="388"/>
      <c r="UEK29" s="388"/>
      <c r="UEL29" s="388"/>
      <c r="UEM29" s="388"/>
      <c r="UEN29" s="388"/>
      <c r="UEO29" s="388"/>
      <c r="UEP29" s="388"/>
      <c r="UEQ29" s="388"/>
      <c r="UER29" s="388"/>
      <c r="UES29" s="388"/>
      <c r="UET29" s="388"/>
      <c r="UEU29" s="388"/>
      <c r="UEV29" s="388"/>
      <c r="UEW29" s="388"/>
      <c r="UEX29" s="388"/>
      <c r="UEY29" s="388"/>
      <c r="UEZ29" s="388"/>
      <c r="UFA29" s="388"/>
      <c r="UFB29" s="388"/>
      <c r="UFC29" s="388"/>
      <c r="UFD29" s="388"/>
      <c r="UFE29" s="388"/>
      <c r="UFF29" s="388"/>
      <c r="UFG29" s="388"/>
      <c r="UFH29" s="388"/>
      <c r="UFI29" s="388"/>
      <c r="UFJ29" s="388"/>
      <c r="UFK29" s="388"/>
      <c r="UFL29" s="388"/>
      <c r="UFM29" s="388"/>
      <c r="UFN29" s="388"/>
      <c r="UFO29" s="388"/>
      <c r="UFP29" s="388"/>
      <c r="UFQ29" s="388"/>
      <c r="UFR29" s="388"/>
      <c r="UFS29" s="388"/>
      <c r="UFT29" s="388"/>
      <c r="UFU29" s="388"/>
      <c r="UFV29" s="388"/>
      <c r="UFW29" s="388"/>
      <c r="UFX29" s="388"/>
      <c r="UFY29" s="388"/>
      <c r="UFZ29" s="388"/>
      <c r="UGA29" s="388"/>
      <c r="UGB29" s="388"/>
      <c r="UGC29" s="388"/>
      <c r="UGD29" s="388"/>
      <c r="UGE29" s="388"/>
      <c r="UGF29" s="388"/>
      <c r="UGG29" s="388"/>
      <c r="UGH29" s="388"/>
      <c r="UGI29" s="388"/>
      <c r="UGJ29" s="388"/>
      <c r="UGK29" s="388"/>
      <c r="UGL29" s="388"/>
      <c r="UGM29" s="388"/>
      <c r="UGN29" s="388"/>
      <c r="UGO29" s="388"/>
      <c r="UGP29" s="388"/>
      <c r="UGQ29" s="388"/>
      <c r="UGR29" s="388"/>
      <c r="UGS29" s="388"/>
      <c r="UGT29" s="388"/>
      <c r="UGU29" s="388"/>
      <c r="UGV29" s="388"/>
      <c r="UGW29" s="388"/>
      <c r="UGX29" s="388"/>
      <c r="UGY29" s="388"/>
      <c r="UGZ29" s="388"/>
      <c r="UHA29" s="388"/>
      <c r="UHB29" s="388"/>
      <c r="UHC29" s="388"/>
      <c r="UHD29" s="388"/>
      <c r="UHE29" s="388"/>
      <c r="UHF29" s="388"/>
      <c r="UHG29" s="388"/>
      <c r="UHH29" s="388"/>
      <c r="UHI29" s="388"/>
      <c r="UHJ29" s="388"/>
      <c r="UHK29" s="388"/>
      <c r="UHL29" s="388"/>
      <c r="UHM29" s="388"/>
      <c r="UHN29" s="388"/>
      <c r="UHO29" s="388"/>
      <c r="UHP29" s="388"/>
      <c r="UHQ29" s="388"/>
      <c r="UHR29" s="388"/>
      <c r="UHS29" s="388"/>
      <c r="UHT29" s="388"/>
      <c r="UHU29" s="388"/>
      <c r="UHV29" s="388"/>
      <c r="UHW29" s="388"/>
      <c r="UHX29" s="388"/>
      <c r="UHY29" s="388"/>
      <c r="UHZ29" s="388"/>
      <c r="UIA29" s="388"/>
      <c r="UIB29" s="388"/>
      <c r="UIC29" s="388"/>
      <c r="UID29" s="388"/>
      <c r="UIE29" s="388"/>
      <c r="UIF29" s="388"/>
      <c r="UIG29" s="388"/>
      <c r="UIH29" s="388"/>
      <c r="UII29" s="388"/>
      <c r="UIJ29" s="388"/>
      <c r="UIK29" s="388"/>
      <c r="UIL29" s="388"/>
      <c r="UIM29" s="388"/>
      <c r="UIN29" s="388"/>
      <c r="UIO29" s="388"/>
      <c r="UIP29" s="388"/>
      <c r="UIQ29" s="388"/>
      <c r="UIR29" s="388"/>
      <c r="UIS29" s="388"/>
      <c r="UIT29" s="388"/>
      <c r="UIU29" s="388"/>
      <c r="UIV29" s="388"/>
      <c r="UIW29" s="388"/>
      <c r="UIX29" s="388"/>
      <c r="UIY29" s="388"/>
      <c r="UIZ29" s="388"/>
      <c r="UJA29" s="388"/>
      <c r="UJB29" s="388"/>
      <c r="UJC29" s="388"/>
      <c r="UJD29" s="388"/>
      <c r="UJE29" s="388"/>
      <c r="UJF29" s="388"/>
      <c r="UJG29" s="388"/>
      <c r="UJH29" s="388"/>
      <c r="UJI29" s="388"/>
      <c r="UJJ29" s="388"/>
      <c r="UJK29" s="388"/>
      <c r="UJL29" s="388"/>
      <c r="UJM29" s="388"/>
      <c r="UJN29" s="388"/>
      <c r="UJO29" s="388"/>
      <c r="UJP29" s="388"/>
      <c r="UJQ29" s="388"/>
      <c r="UJR29" s="388"/>
      <c r="UJS29" s="388"/>
      <c r="UJT29" s="388"/>
      <c r="UJU29" s="388"/>
      <c r="UJV29" s="388"/>
      <c r="UJW29" s="388"/>
      <c r="UJX29" s="388"/>
      <c r="UJY29" s="388"/>
      <c r="UJZ29" s="388"/>
      <c r="UKA29" s="388"/>
      <c r="UKB29" s="388"/>
      <c r="UKC29" s="388"/>
      <c r="UKD29" s="388"/>
      <c r="UKE29" s="388"/>
      <c r="UKF29" s="388"/>
      <c r="UKG29" s="388"/>
      <c r="UKH29" s="388"/>
      <c r="UKI29" s="388"/>
      <c r="UKJ29" s="388"/>
      <c r="UKK29" s="388"/>
      <c r="UKL29" s="388"/>
      <c r="UKM29" s="388"/>
      <c r="UKN29" s="388"/>
      <c r="UKO29" s="388"/>
      <c r="UKP29" s="388"/>
      <c r="UKQ29" s="388"/>
      <c r="UKR29" s="388"/>
      <c r="UKS29" s="388"/>
      <c r="UKT29" s="388"/>
      <c r="UKU29" s="388"/>
      <c r="UKV29" s="388"/>
      <c r="UKW29" s="388"/>
      <c r="UKX29" s="388"/>
      <c r="UKY29" s="388"/>
      <c r="UKZ29" s="388"/>
      <c r="ULA29" s="388"/>
      <c r="ULB29" s="388"/>
      <c r="ULC29" s="388"/>
      <c r="ULD29" s="388"/>
      <c r="ULE29" s="388"/>
      <c r="ULF29" s="388"/>
      <c r="ULG29" s="388"/>
      <c r="ULH29" s="388"/>
      <c r="ULI29" s="388"/>
      <c r="ULJ29" s="388"/>
      <c r="ULK29" s="388"/>
      <c r="ULL29" s="388"/>
      <c r="ULM29" s="388"/>
      <c r="ULN29" s="388"/>
      <c r="ULO29" s="388"/>
      <c r="ULP29" s="388"/>
      <c r="ULQ29" s="388"/>
      <c r="ULR29" s="388"/>
      <c r="ULS29" s="388"/>
      <c r="ULT29" s="388"/>
      <c r="ULU29" s="388"/>
      <c r="ULV29" s="388"/>
      <c r="ULW29" s="388"/>
      <c r="ULX29" s="388"/>
      <c r="ULY29" s="388"/>
      <c r="ULZ29" s="388"/>
      <c r="UMA29" s="388"/>
      <c r="UMB29" s="388"/>
      <c r="UMC29" s="388"/>
      <c r="UMD29" s="388"/>
      <c r="UME29" s="388"/>
      <c r="UMF29" s="388"/>
      <c r="UMG29" s="388"/>
      <c r="UMH29" s="388"/>
      <c r="UMI29" s="388"/>
      <c r="UMJ29" s="388"/>
      <c r="UMK29" s="388"/>
      <c r="UML29" s="388"/>
      <c r="UMM29" s="388"/>
      <c r="UMN29" s="388"/>
      <c r="UMO29" s="388"/>
      <c r="UMP29" s="388"/>
      <c r="UMQ29" s="388"/>
      <c r="UMR29" s="388"/>
      <c r="UMS29" s="388"/>
      <c r="UMT29" s="388"/>
      <c r="UMU29" s="388"/>
      <c r="UMV29" s="388"/>
      <c r="UMW29" s="388"/>
      <c r="UMX29" s="388"/>
      <c r="UMY29" s="388"/>
      <c r="UMZ29" s="388"/>
      <c r="UNA29" s="388"/>
      <c r="UNB29" s="388"/>
      <c r="UNC29" s="388"/>
      <c r="UND29" s="388"/>
      <c r="UNE29" s="388"/>
      <c r="UNF29" s="388"/>
      <c r="UNG29" s="388"/>
      <c r="UNH29" s="388"/>
      <c r="UNI29" s="388"/>
      <c r="UNJ29" s="388"/>
      <c r="UNK29" s="388"/>
      <c r="UNL29" s="388"/>
      <c r="UNM29" s="388"/>
      <c r="UNN29" s="388"/>
      <c r="UNO29" s="388"/>
      <c r="UNP29" s="388"/>
      <c r="UNQ29" s="388"/>
      <c r="UNR29" s="388"/>
      <c r="UNS29" s="388"/>
      <c r="UNT29" s="388"/>
      <c r="UNU29" s="388"/>
      <c r="UNV29" s="388"/>
      <c r="UNW29" s="388"/>
      <c r="UNX29" s="388"/>
      <c r="UNY29" s="388"/>
      <c r="UNZ29" s="388"/>
      <c r="UOA29" s="388"/>
      <c r="UOB29" s="388"/>
      <c r="UOC29" s="388"/>
      <c r="UOD29" s="388"/>
      <c r="UOE29" s="388"/>
      <c r="UOF29" s="388"/>
      <c r="UOG29" s="388"/>
      <c r="UOH29" s="388"/>
      <c r="UOI29" s="388"/>
      <c r="UOJ29" s="388"/>
      <c r="UOK29" s="388"/>
      <c r="UOL29" s="388"/>
      <c r="UOM29" s="388"/>
      <c r="UON29" s="388"/>
      <c r="UOO29" s="388"/>
      <c r="UOP29" s="388"/>
      <c r="UOQ29" s="388"/>
      <c r="UOR29" s="388"/>
      <c r="UOS29" s="388"/>
      <c r="UOT29" s="388"/>
      <c r="UOU29" s="388"/>
      <c r="UOV29" s="388"/>
      <c r="UOW29" s="388"/>
      <c r="UOX29" s="388"/>
      <c r="UOY29" s="388"/>
      <c r="UOZ29" s="388"/>
      <c r="UPA29" s="388"/>
      <c r="UPB29" s="388"/>
      <c r="UPC29" s="388"/>
      <c r="UPD29" s="388"/>
      <c r="UPE29" s="388"/>
      <c r="UPF29" s="388"/>
      <c r="UPG29" s="388"/>
      <c r="UPH29" s="388"/>
      <c r="UPI29" s="388"/>
      <c r="UPJ29" s="388"/>
      <c r="UPK29" s="388"/>
      <c r="UPL29" s="388"/>
      <c r="UPM29" s="388"/>
      <c r="UPN29" s="388"/>
      <c r="UPO29" s="388"/>
      <c r="UPP29" s="388"/>
      <c r="UPQ29" s="388"/>
      <c r="UPR29" s="388"/>
      <c r="UPS29" s="388"/>
      <c r="UPT29" s="388"/>
      <c r="UPU29" s="388"/>
      <c r="UPV29" s="388"/>
      <c r="UPW29" s="388"/>
      <c r="UPX29" s="388"/>
      <c r="UPY29" s="388"/>
      <c r="UPZ29" s="388"/>
      <c r="UQA29" s="388"/>
      <c r="UQB29" s="388"/>
      <c r="UQC29" s="388"/>
      <c r="UQD29" s="388"/>
      <c r="UQE29" s="388"/>
      <c r="UQF29" s="388"/>
      <c r="UQG29" s="388"/>
      <c r="UQH29" s="388"/>
      <c r="UQI29" s="388"/>
      <c r="UQJ29" s="388"/>
      <c r="UQK29" s="388"/>
      <c r="UQL29" s="388"/>
      <c r="UQM29" s="388"/>
      <c r="UQN29" s="388"/>
      <c r="UQO29" s="388"/>
      <c r="UQP29" s="388"/>
      <c r="UQQ29" s="388"/>
      <c r="UQR29" s="388"/>
      <c r="UQS29" s="388"/>
      <c r="UQT29" s="388"/>
      <c r="UQU29" s="388"/>
      <c r="UQV29" s="388"/>
      <c r="UQW29" s="388"/>
      <c r="UQX29" s="388"/>
      <c r="UQY29" s="388"/>
      <c r="UQZ29" s="388"/>
      <c r="URA29" s="388"/>
      <c r="URB29" s="388"/>
      <c r="URC29" s="388"/>
      <c r="URD29" s="388"/>
      <c r="URE29" s="388"/>
      <c r="URF29" s="388"/>
      <c r="URG29" s="388"/>
      <c r="URH29" s="388"/>
      <c r="URI29" s="388"/>
      <c r="URJ29" s="388"/>
      <c r="URK29" s="388"/>
      <c r="URL29" s="388"/>
      <c r="URM29" s="388"/>
      <c r="URN29" s="388"/>
      <c r="URO29" s="388"/>
      <c r="URP29" s="388"/>
      <c r="URQ29" s="388"/>
      <c r="URR29" s="388"/>
      <c r="URS29" s="388"/>
      <c r="URT29" s="388"/>
      <c r="URU29" s="388"/>
      <c r="URV29" s="388"/>
      <c r="URW29" s="388"/>
      <c r="URX29" s="388"/>
      <c r="URY29" s="388"/>
      <c r="URZ29" s="388"/>
      <c r="USA29" s="388"/>
      <c r="USB29" s="388"/>
      <c r="USC29" s="388"/>
      <c r="USD29" s="388"/>
      <c r="USE29" s="388"/>
      <c r="USF29" s="388"/>
      <c r="USG29" s="388"/>
      <c r="USH29" s="388"/>
      <c r="USI29" s="388"/>
      <c r="USJ29" s="388"/>
      <c r="USK29" s="388"/>
      <c r="USL29" s="388"/>
      <c r="USM29" s="388"/>
      <c r="USN29" s="388"/>
      <c r="USO29" s="388"/>
      <c r="USP29" s="388"/>
      <c r="USQ29" s="388"/>
      <c r="USR29" s="388"/>
      <c r="USS29" s="388"/>
      <c r="UST29" s="388"/>
      <c r="USU29" s="388"/>
      <c r="USV29" s="388"/>
      <c r="USW29" s="388"/>
      <c r="USX29" s="388"/>
      <c r="USY29" s="388"/>
      <c r="USZ29" s="388"/>
      <c r="UTA29" s="388"/>
      <c r="UTB29" s="388"/>
      <c r="UTC29" s="388"/>
      <c r="UTD29" s="388"/>
      <c r="UTE29" s="388"/>
      <c r="UTF29" s="388"/>
      <c r="UTG29" s="388"/>
      <c r="UTH29" s="388"/>
      <c r="UTI29" s="388"/>
      <c r="UTJ29" s="388"/>
      <c r="UTK29" s="388"/>
      <c r="UTL29" s="388"/>
      <c r="UTM29" s="388"/>
      <c r="UTN29" s="388"/>
      <c r="UTO29" s="388"/>
      <c r="UTP29" s="388"/>
      <c r="UTQ29" s="388"/>
      <c r="UTR29" s="388"/>
      <c r="UTS29" s="388"/>
      <c r="UTT29" s="388"/>
      <c r="UTU29" s="388"/>
      <c r="UTV29" s="388"/>
      <c r="UTW29" s="388"/>
      <c r="UTX29" s="388"/>
      <c r="UTY29" s="388"/>
      <c r="UTZ29" s="388"/>
      <c r="UUA29" s="388"/>
      <c r="UUB29" s="388"/>
      <c r="UUC29" s="388"/>
      <c r="UUD29" s="388"/>
      <c r="UUE29" s="388"/>
      <c r="UUF29" s="388"/>
      <c r="UUG29" s="388"/>
      <c r="UUH29" s="388"/>
      <c r="UUI29" s="388"/>
      <c r="UUJ29" s="388"/>
      <c r="UUK29" s="388"/>
      <c r="UUL29" s="388"/>
      <c r="UUM29" s="388"/>
      <c r="UUN29" s="388"/>
      <c r="UUO29" s="388"/>
      <c r="UUP29" s="388"/>
      <c r="UUQ29" s="388"/>
      <c r="UUR29" s="388"/>
      <c r="UUS29" s="388"/>
      <c r="UUT29" s="388"/>
      <c r="UUU29" s="388"/>
      <c r="UUV29" s="388"/>
      <c r="UUW29" s="388"/>
      <c r="UUX29" s="388"/>
      <c r="UUY29" s="388"/>
      <c r="UUZ29" s="388"/>
      <c r="UVA29" s="388"/>
      <c r="UVB29" s="388"/>
      <c r="UVC29" s="388"/>
      <c r="UVD29" s="388"/>
      <c r="UVE29" s="388"/>
      <c r="UVF29" s="388"/>
      <c r="UVG29" s="388"/>
      <c r="UVH29" s="388"/>
      <c r="UVI29" s="388"/>
      <c r="UVJ29" s="388"/>
      <c r="UVK29" s="388"/>
      <c r="UVL29" s="388"/>
      <c r="UVM29" s="388"/>
      <c r="UVN29" s="388"/>
      <c r="UVO29" s="388"/>
      <c r="UVP29" s="388"/>
      <c r="UVQ29" s="388"/>
      <c r="UVR29" s="388"/>
      <c r="UVS29" s="388"/>
      <c r="UVT29" s="388"/>
      <c r="UVU29" s="388"/>
      <c r="UVV29" s="388"/>
      <c r="UVW29" s="388"/>
      <c r="UVX29" s="388"/>
      <c r="UVY29" s="388"/>
      <c r="UVZ29" s="388"/>
      <c r="UWA29" s="388"/>
      <c r="UWB29" s="388"/>
      <c r="UWC29" s="388"/>
      <c r="UWD29" s="388"/>
      <c r="UWE29" s="388"/>
      <c r="UWF29" s="388"/>
      <c r="UWG29" s="388"/>
      <c r="UWH29" s="388"/>
      <c r="UWI29" s="388"/>
      <c r="UWJ29" s="388"/>
      <c r="UWK29" s="388"/>
      <c r="UWL29" s="388"/>
      <c r="UWM29" s="388"/>
      <c r="UWN29" s="388"/>
      <c r="UWO29" s="388"/>
      <c r="UWP29" s="388"/>
      <c r="UWQ29" s="388"/>
      <c r="UWR29" s="388"/>
      <c r="UWS29" s="388"/>
      <c r="UWT29" s="388"/>
      <c r="UWU29" s="388"/>
      <c r="UWV29" s="388"/>
      <c r="UWW29" s="388"/>
      <c r="UWX29" s="388"/>
      <c r="UWY29" s="388"/>
      <c r="UWZ29" s="388"/>
      <c r="UXA29" s="388"/>
      <c r="UXB29" s="388"/>
      <c r="UXC29" s="388"/>
      <c r="UXD29" s="388"/>
      <c r="UXE29" s="388"/>
      <c r="UXF29" s="388"/>
      <c r="UXG29" s="388"/>
      <c r="UXH29" s="388"/>
      <c r="UXI29" s="388"/>
      <c r="UXJ29" s="388"/>
      <c r="UXK29" s="388"/>
      <c r="UXL29" s="388"/>
      <c r="UXM29" s="388"/>
      <c r="UXN29" s="388"/>
      <c r="UXO29" s="388"/>
      <c r="UXP29" s="388"/>
      <c r="UXQ29" s="388"/>
      <c r="UXR29" s="388"/>
      <c r="UXS29" s="388"/>
      <c r="UXT29" s="388"/>
      <c r="UXU29" s="388"/>
      <c r="UXV29" s="388"/>
      <c r="UXW29" s="388"/>
      <c r="UXX29" s="388"/>
      <c r="UXY29" s="388"/>
      <c r="UXZ29" s="388"/>
      <c r="UYA29" s="388"/>
      <c r="UYB29" s="388"/>
      <c r="UYC29" s="388"/>
      <c r="UYD29" s="388"/>
      <c r="UYE29" s="388"/>
      <c r="UYF29" s="388"/>
      <c r="UYG29" s="388"/>
      <c r="UYH29" s="388"/>
      <c r="UYI29" s="388"/>
      <c r="UYJ29" s="388"/>
      <c r="UYK29" s="388"/>
      <c r="UYL29" s="388"/>
      <c r="UYM29" s="388"/>
      <c r="UYN29" s="388"/>
      <c r="UYO29" s="388"/>
      <c r="UYP29" s="388"/>
      <c r="UYQ29" s="388"/>
      <c r="UYR29" s="388"/>
      <c r="UYS29" s="388"/>
      <c r="UYT29" s="388"/>
      <c r="UYU29" s="388"/>
      <c r="UYV29" s="388"/>
      <c r="UYW29" s="388"/>
      <c r="UYX29" s="388"/>
      <c r="UYY29" s="388"/>
      <c r="UYZ29" s="388"/>
      <c r="UZA29" s="388"/>
      <c r="UZB29" s="388"/>
      <c r="UZC29" s="388"/>
      <c r="UZD29" s="388"/>
      <c r="UZE29" s="388"/>
      <c r="UZF29" s="388"/>
      <c r="UZG29" s="388"/>
      <c r="UZH29" s="388"/>
      <c r="UZI29" s="388"/>
      <c r="UZJ29" s="388"/>
      <c r="UZK29" s="388"/>
      <c r="UZL29" s="388"/>
      <c r="UZM29" s="388"/>
      <c r="UZN29" s="388"/>
      <c r="UZO29" s="388"/>
      <c r="UZP29" s="388"/>
      <c r="UZQ29" s="388"/>
      <c r="UZR29" s="388"/>
      <c r="UZS29" s="388"/>
      <c r="UZT29" s="388"/>
      <c r="UZU29" s="388"/>
      <c r="UZV29" s="388"/>
      <c r="UZW29" s="388"/>
      <c r="UZX29" s="388"/>
      <c r="UZY29" s="388"/>
      <c r="UZZ29" s="388"/>
      <c r="VAA29" s="388"/>
      <c r="VAB29" s="388"/>
      <c r="VAC29" s="388"/>
      <c r="VAD29" s="388"/>
      <c r="VAE29" s="388"/>
      <c r="VAF29" s="388"/>
      <c r="VAG29" s="388"/>
      <c r="VAH29" s="388"/>
      <c r="VAI29" s="388"/>
      <c r="VAJ29" s="388"/>
      <c r="VAK29" s="388"/>
      <c r="VAL29" s="388"/>
      <c r="VAM29" s="388"/>
      <c r="VAN29" s="388"/>
      <c r="VAO29" s="388"/>
      <c r="VAP29" s="388"/>
      <c r="VAQ29" s="388"/>
      <c r="VAR29" s="388"/>
      <c r="VAS29" s="388"/>
      <c r="VAT29" s="388"/>
      <c r="VAU29" s="388"/>
      <c r="VAV29" s="388"/>
      <c r="VAW29" s="388"/>
      <c r="VAX29" s="388"/>
      <c r="VAY29" s="388"/>
      <c r="VAZ29" s="388"/>
      <c r="VBA29" s="388"/>
      <c r="VBB29" s="388"/>
      <c r="VBC29" s="388"/>
      <c r="VBD29" s="388"/>
      <c r="VBE29" s="388"/>
      <c r="VBF29" s="388"/>
      <c r="VBG29" s="388"/>
      <c r="VBH29" s="388"/>
      <c r="VBI29" s="388"/>
      <c r="VBJ29" s="388"/>
      <c r="VBK29" s="388"/>
      <c r="VBL29" s="388"/>
      <c r="VBM29" s="388"/>
      <c r="VBN29" s="388"/>
      <c r="VBO29" s="388"/>
      <c r="VBP29" s="388"/>
      <c r="VBQ29" s="388"/>
      <c r="VBR29" s="388"/>
      <c r="VBS29" s="388"/>
      <c r="VBT29" s="388"/>
      <c r="VBU29" s="388"/>
      <c r="VBV29" s="388"/>
      <c r="VBW29" s="388"/>
      <c r="VBX29" s="388"/>
      <c r="VBY29" s="388"/>
      <c r="VBZ29" s="388"/>
      <c r="VCA29" s="388"/>
      <c r="VCB29" s="388"/>
      <c r="VCC29" s="388"/>
      <c r="VCD29" s="388"/>
      <c r="VCE29" s="388"/>
      <c r="VCF29" s="388"/>
      <c r="VCG29" s="388"/>
      <c r="VCH29" s="388"/>
      <c r="VCI29" s="388"/>
      <c r="VCJ29" s="388"/>
      <c r="VCK29" s="388"/>
      <c r="VCL29" s="388"/>
      <c r="VCM29" s="388"/>
      <c r="VCN29" s="388"/>
      <c r="VCO29" s="388"/>
      <c r="VCP29" s="388"/>
      <c r="VCQ29" s="388"/>
      <c r="VCR29" s="388"/>
      <c r="VCS29" s="388"/>
      <c r="VCT29" s="388"/>
      <c r="VCU29" s="388"/>
      <c r="VCV29" s="388"/>
      <c r="VCW29" s="388"/>
      <c r="VCX29" s="388"/>
      <c r="VCY29" s="388"/>
      <c r="VCZ29" s="388"/>
      <c r="VDA29" s="388"/>
      <c r="VDB29" s="388"/>
      <c r="VDC29" s="388"/>
      <c r="VDD29" s="388"/>
      <c r="VDE29" s="388"/>
      <c r="VDF29" s="388"/>
      <c r="VDG29" s="388"/>
      <c r="VDH29" s="388"/>
      <c r="VDI29" s="388"/>
      <c r="VDJ29" s="388"/>
      <c r="VDK29" s="388"/>
      <c r="VDL29" s="388"/>
      <c r="VDM29" s="388"/>
      <c r="VDN29" s="388"/>
      <c r="VDO29" s="388"/>
      <c r="VDP29" s="388"/>
      <c r="VDQ29" s="388"/>
      <c r="VDR29" s="388"/>
      <c r="VDS29" s="388"/>
      <c r="VDT29" s="388"/>
      <c r="VDU29" s="388"/>
      <c r="VDV29" s="388"/>
      <c r="VDW29" s="388"/>
      <c r="VDX29" s="388"/>
      <c r="VDY29" s="388"/>
      <c r="VDZ29" s="388"/>
      <c r="VEA29" s="388"/>
      <c r="VEB29" s="388"/>
      <c r="VEC29" s="388"/>
      <c r="VED29" s="388"/>
      <c r="VEE29" s="388"/>
      <c r="VEF29" s="388"/>
      <c r="VEG29" s="388"/>
      <c r="VEH29" s="388"/>
      <c r="VEI29" s="388"/>
      <c r="VEJ29" s="388"/>
      <c r="VEK29" s="388"/>
      <c r="VEL29" s="388"/>
      <c r="VEM29" s="388"/>
      <c r="VEN29" s="388"/>
      <c r="VEO29" s="388"/>
      <c r="VEP29" s="388"/>
      <c r="VEQ29" s="388"/>
      <c r="VER29" s="388"/>
      <c r="VES29" s="388"/>
      <c r="VET29" s="388"/>
      <c r="VEU29" s="388"/>
      <c r="VEV29" s="388"/>
      <c r="VEW29" s="388"/>
      <c r="VEX29" s="388"/>
      <c r="VEY29" s="388"/>
      <c r="VEZ29" s="388"/>
      <c r="VFA29" s="388"/>
      <c r="VFB29" s="388"/>
      <c r="VFC29" s="388"/>
      <c r="VFD29" s="388"/>
      <c r="VFE29" s="388"/>
      <c r="VFF29" s="388"/>
      <c r="VFG29" s="388"/>
      <c r="VFH29" s="388"/>
      <c r="VFI29" s="388"/>
      <c r="VFJ29" s="388"/>
      <c r="VFK29" s="388"/>
      <c r="VFL29" s="388"/>
      <c r="VFM29" s="388"/>
      <c r="VFN29" s="388"/>
      <c r="VFO29" s="388"/>
      <c r="VFP29" s="388"/>
      <c r="VFQ29" s="388"/>
      <c r="VFR29" s="388"/>
      <c r="VFS29" s="388"/>
      <c r="VFT29" s="388"/>
      <c r="VFU29" s="388"/>
      <c r="VFV29" s="388"/>
      <c r="VFW29" s="388"/>
      <c r="VFX29" s="388"/>
      <c r="VFY29" s="388"/>
      <c r="VFZ29" s="388"/>
      <c r="VGA29" s="388"/>
      <c r="VGB29" s="388"/>
      <c r="VGC29" s="388"/>
      <c r="VGD29" s="388"/>
      <c r="VGE29" s="388"/>
      <c r="VGF29" s="388"/>
      <c r="VGG29" s="388"/>
      <c r="VGH29" s="388"/>
      <c r="VGI29" s="388"/>
      <c r="VGJ29" s="388"/>
      <c r="VGK29" s="388"/>
      <c r="VGL29" s="388"/>
      <c r="VGM29" s="388"/>
      <c r="VGN29" s="388"/>
      <c r="VGO29" s="388"/>
      <c r="VGP29" s="388"/>
      <c r="VGQ29" s="388"/>
      <c r="VGR29" s="388"/>
      <c r="VGS29" s="388"/>
      <c r="VGT29" s="388"/>
      <c r="VGU29" s="388"/>
      <c r="VGV29" s="388"/>
      <c r="VGW29" s="388"/>
      <c r="VGX29" s="388"/>
      <c r="VGY29" s="388"/>
      <c r="VGZ29" s="388"/>
      <c r="VHA29" s="388"/>
      <c r="VHB29" s="388"/>
      <c r="VHC29" s="388"/>
      <c r="VHD29" s="388"/>
      <c r="VHE29" s="388"/>
      <c r="VHF29" s="388"/>
      <c r="VHG29" s="388"/>
      <c r="VHH29" s="388"/>
      <c r="VHI29" s="388"/>
      <c r="VHJ29" s="388"/>
      <c r="VHK29" s="388"/>
      <c r="VHL29" s="388"/>
      <c r="VHM29" s="388"/>
      <c r="VHN29" s="388"/>
      <c r="VHO29" s="388"/>
      <c r="VHP29" s="388"/>
      <c r="VHQ29" s="388"/>
      <c r="VHR29" s="388"/>
      <c r="VHS29" s="388"/>
      <c r="VHT29" s="388"/>
      <c r="VHU29" s="388"/>
      <c r="VHV29" s="388"/>
      <c r="VHW29" s="388"/>
      <c r="VHX29" s="388"/>
      <c r="VHY29" s="388"/>
      <c r="VHZ29" s="388"/>
      <c r="VIA29" s="388"/>
      <c r="VIB29" s="388"/>
      <c r="VIC29" s="388"/>
      <c r="VID29" s="388"/>
      <c r="VIE29" s="388"/>
      <c r="VIF29" s="388"/>
      <c r="VIG29" s="388"/>
      <c r="VIH29" s="388"/>
      <c r="VII29" s="388"/>
      <c r="VIJ29" s="388"/>
      <c r="VIK29" s="388"/>
      <c r="VIL29" s="388"/>
      <c r="VIM29" s="388"/>
      <c r="VIN29" s="388"/>
      <c r="VIO29" s="388"/>
      <c r="VIP29" s="388"/>
      <c r="VIQ29" s="388"/>
      <c r="VIR29" s="388"/>
      <c r="VIS29" s="388"/>
      <c r="VIT29" s="388"/>
      <c r="VIU29" s="388"/>
      <c r="VIV29" s="388"/>
      <c r="VIW29" s="388"/>
      <c r="VIX29" s="388"/>
      <c r="VIY29" s="388"/>
      <c r="VIZ29" s="388"/>
      <c r="VJA29" s="388"/>
      <c r="VJB29" s="388"/>
      <c r="VJC29" s="388"/>
      <c r="VJD29" s="388"/>
      <c r="VJE29" s="388"/>
      <c r="VJF29" s="388"/>
      <c r="VJG29" s="388"/>
      <c r="VJH29" s="388"/>
      <c r="VJI29" s="388"/>
      <c r="VJJ29" s="388"/>
      <c r="VJK29" s="388"/>
      <c r="VJL29" s="388"/>
      <c r="VJM29" s="388"/>
      <c r="VJN29" s="388"/>
      <c r="VJO29" s="388"/>
      <c r="VJP29" s="388"/>
      <c r="VJQ29" s="388"/>
      <c r="VJR29" s="388"/>
      <c r="VJS29" s="388"/>
      <c r="VJT29" s="388"/>
      <c r="VJU29" s="388"/>
      <c r="VJV29" s="388"/>
      <c r="VJW29" s="388"/>
      <c r="VJX29" s="388"/>
      <c r="VJY29" s="388"/>
      <c r="VJZ29" s="388"/>
      <c r="VKA29" s="388"/>
      <c r="VKB29" s="388"/>
      <c r="VKC29" s="388"/>
      <c r="VKD29" s="388"/>
      <c r="VKE29" s="388"/>
      <c r="VKF29" s="388"/>
      <c r="VKG29" s="388"/>
      <c r="VKH29" s="388"/>
      <c r="VKI29" s="388"/>
      <c r="VKJ29" s="388"/>
      <c r="VKK29" s="388"/>
      <c r="VKL29" s="388"/>
      <c r="VKM29" s="388"/>
      <c r="VKN29" s="388"/>
      <c r="VKO29" s="388"/>
      <c r="VKP29" s="388"/>
      <c r="VKQ29" s="388"/>
      <c r="VKR29" s="388"/>
      <c r="VKS29" s="388"/>
      <c r="VKT29" s="388"/>
      <c r="VKU29" s="388"/>
      <c r="VKV29" s="388"/>
      <c r="VKW29" s="388"/>
      <c r="VKX29" s="388"/>
      <c r="VKY29" s="388"/>
      <c r="VKZ29" s="388"/>
      <c r="VLA29" s="388"/>
      <c r="VLB29" s="388"/>
      <c r="VLC29" s="388"/>
      <c r="VLD29" s="388"/>
      <c r="VLE29" s="388"/>
      <c r="VLF29" s="388"/>
      <c r="VLG29" s="388"/>
      <c r="VLH29" s="388"/>
      <c r="VLI29" s="388"/>
      <c r="VLJ29" s="388"/>
      <c r="VLK29" s="388"/>
      <c r="VLL29" s="388"/>
      <c r="VLM29" s="388"/>
      <c r="VLN29" s="388"/>
      <c r="VLO29" s="388"/>
      <c r="VLP29" s="388"/>
      <c r="VLQ29" s="388"/>
      <c r="VLR29" s="388"/>
      <c r="VLS29" s="388"/>
      <c r="VLT29" s="388"/>
      <c r="VLU29" s="388"/>
      <c r="VLV29" s="388"/>
      <c r="VLW29" s="388"/>
      <c r="VLX29" s="388"/>
      <c r="VLY29" s="388"/>
      <c r="VLZ29" s="388"/>
      <c r="VMA29" s="388"/>
      <c r="VMB29" s="388"/>
      <c r="VMC29" s="388"/>
      <c r="VMD29" s="388"/>
      <c r="VME29" s="388"/>
      <c r="VMF29" s="388"/>
      <c r="VMG29" s="388"/>
      <c r="VMH29" s="388"/>
      <c r="VMI29" s="388"/>
      <c r="VMJ29" s="388"/>
      <c r="VMK29" s="388"/>
      <c r="VML29" s="388"/>
      <c r="VMM29" s="388"/>
      <c r="VMN29" s="388"/>
      <c r="VMO29" s="388"/>
      <c r="VMP29" s="388"/>
      <c r="VMQ29" s="388"/>
      <c r="VMR29" s="388"/>
      <c r="VMS29" s="388"/>
      <c r="VMT29" s="388"/>
      <c r="VMU29" s="388"/>
      <c r="VMV29" s="388"/>
      <c r="VMW29" s="388"/>
      <c r="VMX29" s="388"/>
      <c r="VMY29" s="388"/>
      <c r="VMZ29" s="388"/>
      <c r="VNA29" s="388"/>
      <c r="VNB29" s="388"/>
      <c r="VNC29" s="388"/>
      <c r="VND29" s="388"/>
      <c r="VNE29" s="388"/>
      <c r="VNF29" s="388"/>
      <c r="VNG29" s="388"/>
      <c r="VNH29" s="388"/>
      <c r="VNI29" s="388"/>
      <c r="VNJ29" s="388"/>
      <c r="VNK29" s="388"/>
      <c r="VNL29" s="388"/>
      <c r="VNM29" s="388"/>
      <c r="VNN29" s="388"/>
      <c r="VNO29" s="388"/>
      <c r="VNP29" s="388"/>
      <c r="VNQ29" s="388"/>
      <c r="VNR29" s="388"/>
      <c r="VNS29" s="388"/>
      <c r="VNT29" s="388"/>
      <c r="VNU29" s="388"/>
      <c r="VNV29" s="388"/>
      <c r="VNW29" s="388"/>
      <c r="VNX29" s="388"/>
      <c r="VNY29" s="388"/>
      <c r="VNZ29" s="388"/>
      <c r="VOA29" s="388"/>
      <c r="VOB29" s="388"/>
      <c r="VOC29" s="388"/>
      <c r="VOD29" s="388"/>
      <c r="VOE29" s="388"/>
      <c r="VOF29" s="388"/>
      <c r="VOG29" s="388"/>
      <c r="VOH29" s="388"/>
      <c r="VOI29" s="388"/>
      <c r="VOJ29" s="388"/>
      <c r="VOK29" s="388"/>
      <c r="VOL29" s="388"/>
      <c r="VOM29" s="388"/>
      <c r="VON29" s="388"/>
      <c r="VOO29" s="388"/>
      <c r="VOP29" s="388"/>
      <c r="VOQ29" s="388"/>
      <c r="VOR29" s="388"/>
      <c r="VOS29" s="388"/>
      <c r="VOT29" s="388"/>
      <c r="VOU29" s="388"/>
      <c r="VOV29" s="388"/>
      <c r="VOW29" s="388"/>
      <c r="VOX29" s="388"/>
      <c r="VOY29" s="388"/>
      <c r="VOZ29" s="388"/>
      <c r="VPA29" s="388"/>
      <c r="VPB29" s="388"/>
      <c r="VPC29" s="388"/>
      <c r="VPD29" s="388"/>
      <c r="VPE29" s="388"/>
      <c r="VPF29" s="388"/>
      <c r="VPG29" s="388"/>
      <c r="VPH29" s="388"/>
      <c r="VPI29" s="388"/>
      <c r="VPJ29" s="388"/>
      <c r="VPK29" s="388"/>
      <c r="VPL29" s="388"/>
      <c r="VPM29" s="388"/>
      <c r="VPN29" s="388"/>
      <c r="VPO29" s="388"/>
      <c r="VPP29" s="388"/>
      <c r="VPQ29" s="388"/>
      <c r="VPR29" s="388"/>
      <c r="VPS29" s="388"/>
      <c r="VPT29" s="388"/>
      <c r="VPU29" s="388"/>
      <c r="VPV29" s="388"/>
      <c r="VPW29" s="388"/>
      <c r="VPX29" s="388"/>
      <c r="VPY29" s="388"/>
      <c r="VPZ29" s="388"/>
      <c r="VQA29" s="388"/>
      <c r="VQB29" s="388"/>
      <c r="VQC29" s="388"/>
      <c r="VQD29" s="388"/>
      <c r="VQE29" s="388"/>
      <c r="VQF29" s="388"/>
      <c r="VQG29" s="388"/>
      <c r="VQH29" s="388"/>
      <c r="VQI29" s="388"/>
      <c r="VQJ29" s="388"/>
      <c r="VQK29" s="388"/>
      <c r="VQL29" s="388"/>
      <c r="VQM29" s="388"/>
      <c r="VQN29" s="388"/>
      <c r="VQO29" s="388"/>
      <c r="VQP29" s="388"/>
      <c r="VQQ29" s="388"/>
      <c r="VQR29" s="388"/>
      <c r="VQS29" s="388"/>
      <c r="VQT29" s="388"/>
      <c r="VQU29" s="388"/>
      <c r="VQV29" s="388"/>
      <c r="VQW29" s="388"/>
      <c r="VQX29" s="388"/>
      <c r="VQY29" s="388"/>
      <c r="VQZ29" s="388"/>
      <c r="VRA29" s="388"/>
      <c r="VRB29" s="388"/>
      <c r="VRC29" s="388"/>
      <c r="VRD29" s="388"/>
      <c r="VRE29" s="388"/>
      <c r="VRF29" s="388"/>
      <c r="VRG29" s="388"/>
      <c r="VRH29" s="388"/>
      <c r="VRI29" s="388"/>
      <c r="VRJ29" s="388"/>
      <c r="VRK29" s="388"/>
      <c r="VRL29" s="388"/>
      <c r="VRM29" s="388"/>
      <c r="VRN29" s="388"/>
      <c r="VRO29" s="388"/>
      <c r="VRP29" s="388"/>
      <c r="VRQ29" s="388"/>
      <c r="VRR29" s="388"/>
      <c r="VRS29" s="388"/>
      <c r="VRT29" s="388"/>
      <c r="VRU29" s="388"/>
      <c r="VRV29" s="388"/>
      <c r="VRW29" s="388"/>
      <c r="VRX29" s="388"/>
      <c r="VRY29" s="388"/>
      <c r="VRZ29" s="388"/>
      <c r="VSA29" s="388"/>
      <c r="VSB29" s="388"/>
      <c r="VSC29" s="388"/>
      <c r="VSD29" s="388"/>
      <c r="VSE29" s="388"/>
      <c r="VSF29" s="388"/>
      <c r="VSG29" s="388"/>
      <c r="VSH29" s="388"/>
      <c r="VSI29" s="388"/>
      <c r="VSJ29" s="388"/>
      <c r="VSK29" s="388"/>
      <c r="VSL29" s="388"/>
      <c r="VSM29" s="388"/>
      <c r="VSN29" s="388"/>
      <c r="VSO29" s="388"/>
      <c r="VSP29" s="388"/>
      <c r="VSQ29" s="388"/>
      <c r="VSR29" s="388"/>
      <c r="VSS29" s="388"/>
      <c r="VST29" s="388"/>
      <c r="VSU29" s="388"/>
      <c r="VSV29" s="388"/>
      <c r="VSW29" s="388"/>
      <c r="VSX29" s="388"/>
      <c r="VSY29" s="388"/>
      <c r="VSZ29" s="388"/>
      <c r="VTA29" s="388"/>
      <c r="VTB29" s="388"/>
      <c r="VTC29" s="388"/>
      <c r="VTD29" s="388"/>
      <c r="VTE29" s="388"/>
      <c r="VTF29" s="388"/>
      <c r="VTG29" s="388"/>
      <c r="VTH29" s="388"/>
      <c r="VTI29" s="388"/>
      <c r="VTJ29" s="388"/>
      <c r="VTK29" s="388"/>
      <c r="VTL29" s="388"/>
      <c r="VTM29" s="388"/>
      <c r="VTN29" s="388"/>
      <c r="VTO29" s="388"/>
      <c r="VTP29" s="388"/>
      <c r="VTQ29" s="388"/>
      <c r="VTR29" s="388"/>
      <c r="VTS29" s="388"/>
      <c r="VTT29" s="388"/>
      <c r="VTU29" s="388"/>
      <c r="VTV29" s="388"/>
      <c r="VTW29" s="388"/>
      <c r="VTX29" s="388"/>
      <c r="VTY29" s="388"/>
      <c r="VTZ29" s="388"/>
      <c r="VUA29" s="388"/>
      <c r="VUB29" s="388"/>
      <c r="VUC29" s="388"/>
      <c r="VUD29" s="388"/>
      <c r="VUE29" s="388"/>
      <c r="VUF29" s="388"/>
      <c r="VUG29" s="388"/>
      <c r="VUH29" s="388"/>
      <c r="VUI29" s="388"/>
      <c r="VUJ29" s="388"/>
      <c r="VUK29" s="388"/>
      <c r="VUL29" s="388"/>
      <c r="VUM29" s="388"/>
      <c r="VUN29" s="388"/>
      <c r="VUO29" s="388"/>
      <c r="VUP29" s="388"/>
      <c r="VUQ29" s="388"/>
      <c r="VUR29" s="388"/>
      <c r="VUS29" s="388"/>
      <c r="VUT29" s="388"/>
      <c r="VUU29" s="388"/>
      <c r="VUV29" s="388"/>
      <c r="VUW29" s="388"/>
      <c r="VUX29" s="388"/>
      <c r="VUY29" s="388"/>
      <c r="VUZ29" s="388"/>
      <c r="VVA29" s="388"/>
      <c r="VVB29" s="388"/>
      <c r="VVC29" s="388"/>
      <c r="VVD29" s="388"/>
      <c r="VVE29" s="388"/>
      <c r="VVF29" s="388"/>
      <c r="VVG29" s="388"/>
      <c r="VVH29" s="388"/>
      <c r="VVI29" s="388"/>
      <c r="VVJ29" s="388"/>
      <c r="VVK29" s="388"/>
      <c r="VVL29" s="388"/>
      <c r="VVM29" s="388"/>
      <c r="VVN29" s="388"/>
      <c r="VVO29" s="388"/>
      <c r="VVP29" s="388"/>
      <c r="VVQ29" s="388"/>
      <c r="VVR29" s="388"/>
      <c r="VVS29" s="388"/>
      <c r="VVT29" s="388"/>
      <c r="VVU29" s="388"/>
      <c r="VVV29" s="388"/>
      <c r="VVW29" s="388"/>
      <c r="VVX29" s="388"/>
      <c r="VVY29" s="388"/>
      <c r="VVZ29" s="388"/>
      <c r="VWA29" s="388"/>
      <c r="VWB29" s="388"/>
      <c r="VWC29" s="388"/>
      <c r="VWD29" s="388"/>
      <c r="VWE29" s="388"/>
      <c r="VWF29" s="388"/>
      <c r="VWG29" s="388"/>
      <c r="VWH29" s="388"/>
      <c r="VWI29" s="388"/>
      <c r="VWJ29" s="388"/>
      <c r="VWK29" s="388"/>
      <c r="VWL29" s="388"/>
      <c r="VWM29" s="388"/>
      <c r="VWN29" s="388"/>
      <c r="VWO29" s="388"/>
      <c r="VWP29" s="388"/>
      <c r="VWQ29" s="388"/>
      <c r="VWR29" s="388"/>
      <c r="VWS29" s="388"/>
      <c r="VWT29" s="388"/>
      <c r="VWU29" s="388"/>
      <c r="VWV29" s="388"/>
      <c r="VWW29" s="388"/>
      <c r="VWX29" s="388"/>
      <c r="VWY29" s="388"/>
      <c r="VWZ29" s="388"/>
      <c r="VXA29" s="388"/>
      <c r="VXB29" s="388"/>
      <c r="VXC29" s="388"/>
      <c r="VXD29" s="388"/>
      <c r="VXE29" s="388"/>
      <c r="VXF29" s="388"/>
      <c r="VXG29" s="388"/>
      <c r="VXH29" s="388"/>
      <c r="VXI29" s="388"/>
      <c r="VXJ29" s="388"/>
      <c r="VXK29" s="388"/>
      <c r="VXL29" s="388"/>
      <c r="VXM29" s="388"/>
      <c r="VXN29" s="388"/>
      <c r="VXO29" s="388"/>
      <c r="VXP29" s="388"/>
      <c r="VXQ29" s="388"/>
      <c r="VXR29" s="388"/>
      <c r="VXS29" s="388"/>
      <c r="VXT29" s="388"/>
      <c r="VXU29" s="388"/>
      <c r="VXV29" s="388"/>
      <c r="VXW29" s="388"/>
      <c r="VXX29" s="388"/>
      <c r="VXY29" s="388"/>
      <c r="VXZ29" s="388"/>
      <c r="VYA29" s="388"/>
      <c r="VYB29" s="388"/>
      <c r="VYC29" s="388"/>
      <c r="VYD29" s="388"/>
      <c r="VYE29" s="388"/>
      <c r="VYF29" s="388"/>
      <c r="VYG29" s="388"/>
      <c r="VYH29" s="388"/>
      <c r="VYI29" s="388"/>
      <c r="VYJ29" s="388"/>
      <c r="VYK29" s="388"/>
      <c r="VYL29" s="388"/>
      <c r="VYM29" s="388"/>
      <c r="VYN29" s="388"/>
      <c r="VYO29" s="388"/>
      <c r="VYP29" s="388"/>
      <c r="VYQ29" s="388"/>
      <c r="VYR29" s="388"/>
      <c r="VYS29" s="388"/>
      <c r="VYT29" s="388"/>
      <c r="VYU29" s="388"/>
      <c r="VYV29" s="388"/>
      <c r="VYW29" s="388"/>
      <c r="VYX29" s="388"/>
      <c r="VYY29" s="388"/>
      <c r="VYZ29" s="388"/>
      <c r="VZA29" s="388"/>
      <c r="VZB29" s="388"/>
      <c r="VZC29" s="388"/>
      <c r="VZD29" s="388"/>
      <c r="VZE29" s="388"/>
      <c r="VZF29" s="388"/>
      <c r="VZG29" s="388"/>
      <c r="VZH29" s="388"/>
      <c r="VZI29" s="388"/>
      <c r="VZJ29" s="388"/>
      <c r="VZK29" s="388"/>
      <c r="VZL29" s="388"/>
      <c r="VZM29" s="388"/>
      <c r="VZN29" s="388"/>
      <c r="VZO29" s="388"/>
      <c r="VZP29" s="388"/>
      <c r="VZQ29" s="388"/>
      <c r="VZR29" s="388"/>
      <c r="VZS29" s="388"/>
      <c r="VZT29" s="388"/>
      <c r="VZU29" s="388"/>
      <c r="VZV29" s="388"/>
      <c r="VZW29" s="388"/>
      <c r="VZX29" s="388"/>
      <c r="VZY29" s="388"/>
      <c r="VZZ29" s="388"/>
      <c r="WAA29" s="388"/>
      <c r="WAB29" s="388"/>
      <c r="WAC29" s="388"/>
      <c r="WAD29" s="388"/>
      <c r="WAE29" s="388"/>
      <c r="WAF29" s="388"/>
      <c r="WAG29" s="388"/>
      <c r="WAH29" s="388"/>
      <c r="WAI29" s="388"/>
      <c r="WAJ29" s="388"/>
      <c r="WAK29" s="388"/>
      <c r="WAL29" s="388"/>
      <c r="WAM29" s="388"/>
      <c r="WAN29" s="388"/>
      <c r="WAO29" s="388"/>
      <c r="WAP29" s="388"/>
      <c r="WAQ29" s="388"/>
      <c r="WAR29" s="388"/>
      <c r="WAS29" s="388"/>
      <c r="WAT29" s="388"/>
      <c r="WAU29" s="388"/>
      <c r="WAV29" s="388"/>
      <c r="WAW29" s="388"/>
      <c r="WAX29" s="388"/>
      <c r="WAY29" s="388"/>
      <c r="WAZ29" s="388"/>
      <c r="WBA29" s="388"/>
      <c r="WBB29" s="388"/>
      <c r="WBC29" s="388"/>
      <c r="WBD29" s="388"/>
      <c r="WBE29" s="388"/>
      <c r="WBF29" s="388"/>
      <c r="WBG29" s="388"/>
      <c r="WBH29" s="388"/>
      <c r="WBI29" s="388"/>
      <c r="WBJ29" s="388"/>
      <c r="WBK29" s="388"/>
      <c r="WBL29" s="388"/>
      <c r="WBM29" s="388"/>
      <c r="WBN29" s="388"/>
      <c r="WBO29" s="388"/>
      <c r="WBP29" s="388"/>
      <c r="WBQ29" s="388"/>
      <c r="WBR29" s="388"/>
      <c r="WBS29" s="388"/>
      <c r="WBT29" s="388"/>
      <c r="WBU29" s="388"/>
      <c r="WBV29" s="388"/>
      <c r="WBW29" s="388"/>
      <c r="WBX29" s="388"/>
      <c r="WBY29" s="388"/>
      <c r="WBZ29" s="388"/>
      <c r="WCA29" s="388"/>
      <c r="WCB29" s="388"/>
      <c r="WCC29" s="388"/>
      <c r="WCD29" s="388"/>
      <c r="WCE29" s="388"/>
      <c r="WCF29" s="388"/>
      <c r="WCG29" s="388"/>
      <c r="WCH29" s="388"/>
      <c r="WCI29" s="388"/>
      <c r="WCJ29" s="388"/>
      <c r="WCK29" s="388"/>
      <c r="WCL29" s="388"/>
      <c r="WCM29" s="388"/>
      <c r="WCN29" s="388"/>
      <c r="WCO29" s="388"/>
      <c r="WCP29" s="388"/>
      <c r="WCQ29" s="388"/>
      <c r="WCR29" s="388"/>
      <c r="WCS29" s="388"/>
      <c r="WCT29" s="388"/>
      <c r="WCU29" s="388"/>
      <c r="WCV29" s="388"/>
      <c r="WCW29" s="388"/>
      <c r="WCX29" s="388"/>
      <c r="WCY29" s="388"/>
      <c r="WCZ29" s="388"/>
      <c r="WDA29" s="388"/>
      <c r="WDB29" s="388"/>
      <c r="WDC29" s="388"/>
      <c r="WDD29" s="388"/>
      <c r="WDE29" s="388"/>
      <c r="WDF29" s="388"/>
      <c r="WDG29" s="388"/>
      <c r="WDH29" s="388"/>
      <c r="WDI29" s="388"/>
      <c r="WDJ29" s="388"/>
      <c r="WDK29" s="388"/>
      <c r="WDL29" s="388"/>
      <c r="WDM29" s="388"/>
      <c r="WDN29" s="388"/>
      <c r="WDO29" s="388"/>
      <c r="WDP29" s="388"/>
      <c r="WDQ29" s="388"/>
      <c r="WDR29" s="388"/>
      <c r="WDS29" s="388"/>
      <c r="WDT29" s="388"/>
      <c r="WDU29" s="388"/>
      <c r="WDV29" s="388"/>
      <c r="WDW29" s="388"/>
      <c r="WDX29" s="388"/>
      <c r="WDY29" s="388"/>
      <c r="WDZ29" s="388"/>
      <c r="WEA29" s="388"/>
      <c r="WEB29" s="388"/>
      <c r="WEC29" s="388"/>
      <c r="WED29" s="388"/>
      <c r="WEE29" s="388"/>
      <c r="WEF29" s="388"/>
      <c r="WEG29" s="388"/>
      <c r="WEH29" s="388"/>
      <c r="WEI29" s="388"/>
      <c r="WEJ29" s="388"/>
      <c r="WEK29" s="388"/>
      <c r="WEL29" s="388"/>
      <c r="WEM29" s="388"/>
      <c r="WEN29" s="388"/>
      <c r="WEO29" s="388"/>
      <c r="WEP29" s="388"/>
      <c r="WEQ29" s="388"/>
      <c r="WER29" s="388"/>
      <c r="WES29" s="388"/>
      <c r="WET29" s="388"/>
      <c r="WEU29" s="388"/>
      <c r="WEV29" s="388"/>
      <c r="WEW29" s="388"/>
      <c r="WEX29" s="388"/>
      <c r="WEY29" s="388"/>
      <c r="WEZ29" s="388"/>
      <c r="WFA29" s="388"/>
      <c r="WFB29" s="388"/>
      <c r="WFC29" s="388"/>
      <c r="WFD29" s="388"/>
      <c r="WFE29" s="388"/>
      <c r="WFF29" s="388"/>
      <c r="WFG29" s="388"/>
      <c r="WFH29" s="388"/>
      <c r="WFI29" s="388"/>
      <c r="WFJ29" s="388"/>
      <c r="WFK29" s="388"/>
      <c r="WFL29" s="388"/>
      <c r="WFM29" s="388"/>
      <c r="WFN29" s="388"/>
      <c r="WFO29" s="388"/>
      <c r="WFP29" s="388"/>
      <c r="WFQ29" s="388"/>
      <c r="WFR29" s="388"/>
      <c r="WFS29" s="388"/>
      <c r="WFT29" s="388"/>
      <c r="WFU29" s="388"/>
      <c r="WFV29" s="388"/>
      <c r="WFW29" s="388"/>
      <c r="WFX29" s="388"/>
      <c r="WFY29" s="388"/>
      <c r="WFZ29" s="388"/>
      <c r="WGA29" s="388"/>
      <c r="WGB29" s="388"/>
      <c r="WGC29" s="388"/>
      <c r="WGD29" s="388"/>
      <c r="WGE29" s="388"/>
      <c r="WGF29" s="388"/>
      <c r="WGG29" s="388"/>
      <c r="WGH29" s="388"/>
      <c r="WGI29" s="388"/>
      <c r="WGJ29" s="388"/>
      <c r="WGK29" s="388"/>
      <c r="WGL29" s="388"/>
      <c r="WGM29" s="388"/>
      <c r="WGN29" s="388"/>
      <c r="WGO29" s="388"/>
      <c r="WGP29" s="388"/>
      <c r="WGQ29" s="388"/>
      <c r="WGR29" s="388"/>
      <c r="WGS29" s="388"/>
      <c r="WGT29" s="388"/>
      <c r="WGU29" s="388"/>
      <c r="WGV29" s="388"/>
      <c r="WGW29" s="388"/>
      <c r="WGX29" s="388"/>
      <c r="WGY29" s="388"/>
      <c r="WGZ29" s="388"/>
      <c r="WHA29" s="388"/>
      <c r="WHB29" s="388"/>
      <c r="WHC29" s="388"/>
      <c r="WHD29" s="388"/>
      <c r="WHE29" s="388"/>
      <c r="WHF29" s="388"/>
      <c r="WHG29" s="388"/>
      <c r="WHH29" s="388"/>
      <c r="WHI29" s="388"/>
      <c r="WHJ29" s="388"/>
      <c r="WHK29" s="388"/>
      <c r="WHL29" s="388"/>
      <c r="WHM29" s="388"/>
      <c r="WHN29" s="388"/>
      <c r="WHO29" s="388"/>
      <c r="WHP29" s="388"/>
      <c r="WHQ29" s="388"/>
      <c r="WHR29" s="388"/>
      <c r="WHS29" s="388"/>
      <c r="WHT29" s="388"/>
      <c r="WHU29" s="388"/>
      <c r="WHV29" s="388"/>
      <c r="WHW29" s="388"/>
      <c r="WHX29" s="388"/>
      <c r="WHY29" s="388"/>
      <c r="WHZ29" s="388"/>
      <c r="WIA29" s="388"/>
      <c r="WIB29" s="388"/>
      <c r="WIC29" s="388"/>
      <c r="WID29" s="388"/>
      <c r="WIE29" s="388"/>
      <c r="WIF29" s="388"/>
      <c r="WIG29" s="388"/>
      <c r="WIH29" s="388"/>
      <c r="WII29" s="388"/>
      <c r="WIJ29" s="388"/>
      <c r="WIK29" s="388"/>
      <c r="WIL29" s="388"/>
      <c r="WIM29" s="388"/>
      <c r="WIN29" s="388"/>
      <c r="WIO29" s="388"/>
      <c r="WIP29" s="388"/>
      <c r="WIQ29" s="388"/>
      <c r="WIR29" s="388"/>
      <c r="WIS29" s="388"/>
      <c r="WIT29" s="388"/>
      <c r="WIU29" s="388"/>
      <c r="WIV29" s="388"/>
      <c r="WIW29" s="388"/>
      <c r="WIX29" s="388"/>
      <c r="WIY29" s="388"/>
      <c r="WIZ29" s="388"/>
      <c r="WJA29" s="388"/>
      <c r="WJB29" s="388"/>
      <c r="WJC29" s="388"/>
      <c r="WJD29" s="388"/>
      <c r="WJE29" s="388"/>
      <c r="WJF29" s="388"/>
      <c r="WJG29" s="388"/>
      <c r="WJH29" s="388"/>
      <c r="WJI29" s="388"/>
      <c r="WJJ29" s="388"/>
      <c r="WJK29" s="388"/>
      <c r="WJL29" s="388"/>
      <c r="WJM29" s="388"/>
      <c r="WJN29" s="388"/>
      <c r="WJO29" s="388"/>
      <c r="WJP29" s="388"/>
      <c r="WJQ29" s="388"/>
      <c r="WJR29" s="388"/>
      <c r="WJS29" s="388"/>
      <c r="WJT29" s="388"/>
      <c r="WJU29" s="388"/>
      <c r="WJV29" s="388"/>
      <c r="WJW29" s="388"/>
      <c r="WJX29" s="388"/>
      <c r="WJY29" s="388"/>
      <c r="WJZ29" s="388"/>
      <c r="WKA29" s="388"/>
      <c r="WKB29" s="388"/>
      <c r="WKC29" s="388"/>
      <c r="WKD29" s="388"/>
      <c r="WKE29" s="388"/>
      <c r="WKF29" s="388"/>
      <c r="WKG29" s="388"/>
      <c r="WKH29" s="388"/>
      <c r="WKI29" s="388"/>
      <c r="WKJ29" s="388"/>
      <c r="WKK29" s="388"/>
      <c r="WKL29" s="388"/>
      <c r="WKM29" s="388"/>
      <c r="WKN29" s="388"/>
      <c r="WKO29" s="388"/>
      <c r="WKP29" s="388"/>
      <c r="WKQ29" s="388"/>
      <c r="WKR29" s="388"/>
      <c r="WKS29" s="388"/>
      <c r="WKT29" s="388"/>
      <c r="WKU29" s="388"/>
      <c r="WKV29" s="388"/>
      <c r="WKW29" s="388"/>
      <c r="WKX29" s="388"/>
      <c r="WKY29" s="388"/>
      <c r="WKZ29" s="388"/>
      <c r="WLA29" s="388"/>
      <c r="WLB29" s="388"/>
      <c r="WLC29" s="388"/>
      <c r="WLD29" s="388"/>
      <c r="WLE29" s="388"/>
      <c r="WLF29" s="388"/>
      <c r="WLG29" s="388"/>
      <c r="WLH29" s="388"/>
      <c r="WLI29" s="388"/>
      <c r="WLJ29" s="388"/>
      <c r="WLK29" s="388"/>
      <c r="WLL29" s="388"/>
      <c r="WLM29" s="388"/>
      <c r="WLN29" s="388"/>
      <c r="WLO29" s="388"/>
      <c r="WLP29" s="388"/>
      <c r="WLQ29" s="388"/>
      <c r="WLR29" s="388"/>
      <c r="WLS29" s="388"/>
      <c r="WLT29" s="388"/>
      <c r="WLU29" s="388"/>
      <c r="WLV29" s="388"/>
      <c r="WLW29" s="388"/>
      <c r="WLX29" s="388"/>
      <c r="WLY29" s="388"/>
      <c r="WLZ29" s="388"/>
      <c r="WMA29" s="388"/>
      <c r="WMB29" s="388"/>
      <c r="WMC29" s="388"/>
      <c r="WMD29" s="388"/>
      <c r="WME29" s="388"/>
      <c r="WMF29" s="388"/>
      <c r="WMG29" s="388"/>
      <c r="WMH29" s="388"/>
      <c r="WMI29" s="388"/>
      <c r="WMJ29" s="388"/>
      <c r="WMK29" s="388"/>
      <c r="WML29" s="388"/>
      <c r="WMM29" s="388"/>
      <c r="WMN29" s="388"/>
      <c r="WMO29" s="388"/>
      <c r="WMP29" s="388"/>
      <c r="WMQ29" s="388"/>
      <c r="WMR29" s="388"/>
      <c r="WMS29" s="388"/>
      <c r="WMT29" s="388"/>
      <c r="WMU29" s="388"/>
      <c r="WMV29" s="388"/>
      <c r="WMW29" s="388"/>
      <c r="WMX29" s="388"/>
      <c r="WMY29" s="388"/>
      <c r="WMZ29" s="388"/>
      <c r="WNA29" s="388"/>
      <c r="WNB29" s="388"/>
      <c r="WNC29" s="388"/>
      <c r="WND29" s="388"/>
      <c r="WNE29" s="388"/>
      <c r="WNF29" s="388"/>
      <c r="WNG29" s="388"/>
      <c r="WNH29" s="388"/>
      <c r="WNI29" s="388"/>
      <c r="WNJ29" s="388"/>
      <c r="WNK29" s="388"/>
      <c r="WNL29" s="388"/>
      <c r="WNM29" s="388"/>
      <c r="WNN29" s="388"/>
      <c r="WNO29" s="388"/>
      <c r="WNP29" s="388"/>
      <c r="WNQ29" s="388"/>
      <c r="WNR29" s="388"/>
      <c r="WNS29" s="388"/>
      <c r="WNT29" s="388"/>
      <c r="WNU29" s="388"/>
      <c r="WNV29" s="388"/>
      <c r="WNW29" s="388"/>
      <c r="WNX29" s="388"/>
      <c r="WNY29" s="388"/>
      <c r="WNZ29" s="388"/>
      <c r="WOA29" s="388"/>
      <c r="WOB29" s="388"/>
      <c r="WOC29" s="388"/>
      <c r="WOD29" s="388"/>
      <c r="WOE29" s="388"/>
      <c r="WOF29" s="388"/>
      <c r="WOG29" s="388"/>
      <c r="WOH29" s="388"/>
      <c r="WOI29" s="388"/>
      <c r="WOJ29" s="388"/>
      <c r="WOK29" s="388"/>
      <c r="WOL29" s="388"/>
      <c r="WOM29" s="388"/>
      <c r="WON29" s="388"/>
      <c r="WOO29" s="388"/>
      <c r="WOP29" s="388"/>
      <c r="WOQ29" s="388"/>
      <c r="WOR29" s="388"/>
      <c r="WOS29" s="388"/>
      <c r="WOT29" s="388"/>
      <c r="WOU29" s="388"/>
      <c r="WOV29" s="388"/>
      <c r="WOW29" s="388"/>
      <c r="WOX29" s="388"/>
      <c r="WOY29" s="388"/>
      <c r="WOZ29" s="388"/>
      <c r="WPA29" s="388"/>
      <c r="WPB29" s="388"/>
      <c r="WPC29" s="388"/>
      <c r="WPD29" s="388"/>
      <c r="WPE29" s="388"/>
      <c r="WPF29" s="388"/>
      <c r="WPG29" s="388"/>
      <c r="WPH29" s="388"/>
      <c r="WPI29" s="388"/>
      <c r="WPJ29" s="388"/>
      <c r="WPK29" s="388"/>
      <c r="WPL29" s="388"/>
      <c r="WPM29" s="388"/>
      <c r="WPN29" s="388"/>
      <c r="WPO29" s="388"/>
      <c r="WPP29" s="388"/>
      <c r="WPQ29" s="388"/>
      <c r="WPR29" s="388"/>
      <c r="WPS29" s="388"/>
      <c r="WPT29" s="388"/>
      <c r="WPU29" s="388"/>
      <c r="WPV29" s="388"/>
      <c r="WPW29" s="388"/>
      <c r="WPX29" s="388"/>
      <c r="WPY29" s="388"/>
      <c r="WPZ29" s="388"/>
      <c r="WQA29" s="388"/>
      <c r="WQB29" s="388"/>
      <c r="WQC29" s="388"/>
      <c r="WQD29" s="388"/>
      <c r="WQE29" s="388"/>
      <c r="WQF29" s="388"/>
      <c r="WQG29" s="388"/>
      <c r="WQH29" s="388"/>
      <c r="WQI29" s="388"/>
      <c r="WQJ29" s="388"/>
      <c r="WQK29" s="388"/>
      <c r="WQL29" s="388"/>
      <c r="WQM29" s="388"/>
      <c r="WQN29" s="388"/>
      <c r="WQO29" s="388"/>
      <c r="WQP29" s="388"/>
      <c r="WQQ29" s="388"/>
      <c r="WQR29" s="388"/>
      <c r="WQS29" s="388"/>
      <c r="WQT29" s="388"/>
      <c r="WQU29" s="388"/>
      <c r="WQV29" s="388"/>
      <c r="WQW29" s="388"/>
      <c r="WQX29" s="388"/>
      <c r="WQY29" s="388"/>
      <c r="WQZ29" s="388"/>
      <c r="WRA29" s="388"/>
      <c r="WRB29" s="388"/>
      <c r="WRC29" s="388"/>
      <c r="WRD29" s="388"/>
      <c r="WRE29" s="388"/>
      <c r="WRF29" s="388"/>
      <c r="WRG29" s="388"/>
      <c r="WRH29" s="388"/>
      <c r="WRI29" s="388"/>
      <c r="WRJ29" s="388"/>
      <c r="WRK29" s="388"/>
      <c r="WRL29" s="388"/>
      <c r="WRM29" s="388"/>
      <c r="WRN29" s="388"/>
      <c r="WRO29" s="388"/>
      <c r="WRP29" s="388"/>
      <c r="WRQ29" s="388"/>
      <c r="WRR29" s="388"/>
      <c r="WRS29" s="388"/>
      <c r="WRT29" s="388"/>
      <c r="WRU29" s="388"/>
      <c r="WRV29" s="388"/>
      <c r="WRW29" s="388"/>
      <c r="WRX29" s="388"/>
      <c r="WRY29" s="388"/>
      <c r="WRZ29" s="388"/>
      <c r="WSA29" s="388"/>
      <c r="WSB29" s="388"/>
      <c r="WSC29" s="388"/>
      <c r="WSD29" s="388"/>
      <c r="WSE29" s="388"/>
      <c r="WSF29" s="388"/>
      <c r="WSG29" s="388"/>
      <c r="WSH29" s="388"/>
      <c r="WSI29" s="388"/>
      <c r="WSJ29" s="388"/>
      <c r="WSK29" s="388"/>
      <c r="WSL29" s="388"/>
      <c r="WSM29" s="388"/>
      <c r="WSN29" s="388"/>
      <c r="WSO29" s="388"/>
      <c r="WSP29" s="388"/>
      <c r="WSQ29" s="388"/>
      <c r="WSR29" s="388"/>
      <c r="WSS29" s="388"/>
      <c r="WST29" s="388"/>
      <c r="WSU29" s="388"/>
      <c r="WSV29" s="388"/>
      <c r="WSW29" s="388"/>
      <c r="WSX29" s="388"/>
      <c r="WSY29" s="388"/>
      <c r="WSZ29" s="388"/>
      <c r="WTA29" s="388"/>
      <c r="WTB29" s="388"/>
      <c r="WTC29" s="388"/>
      <c r="WTD29" s="388"/>
      <c r="WTE29" s="388"/>
      <c r="WTF29" s="388"/>
      <c r="WTG29" s="388"/>
      <c r="WTH29" s="388"/>
      <c r="WTI29" s="388"/>
      <c r="WTJ29" s="388"/>
      <c r="WTK29" s="388"/>
      <c r="WTL29" s="388"/>
      <c r="WTM29" s="388"/>
      <c r="WTN29" s="388"/>
      <c r="WTO29" s="388"/>
      <c r="WTP29" s="388"/>
      <c r="WTQ29" s="388"/>
      <c r="WTR29" s="388"/>
      <c r="WTS29" s="388"/>
      <c r="WTT29" s="388"/>
      <c r="WTU29" s="388"/>
      <c r="WTV29" s="388"/>
      <c r="WTW29" s="388"/>
      <c r="WTX29" s="388"/>
      <c r="WTY29" s="388"/>
      <c r="WTZ29" s="388"/>
      <c r="WUA29" s="388"/>
      <c r="WUB29" s="388"/>
      <c r="WUC29" s="388"/>
      <c r="WUD29" s="388"/>
      <c r="WUE29" s="388"/>
      <c r="WUF29" s="388"/>
      <c r="WUG29" s="388"/>
      <c r="WUH29" s="388"/>
      <c r="WUI29" s="388"/>
      <c r="WUJ29" s="388"/>
      <c r="WUK29" s="388"/>
      <c r="WUL29" s="388"/>
      <c r="WUM29" s="388"/>
      <c r="WUN29" s="388"/>
      <c r="WUO29" s="388"/>
      <c r="WUP29" s="388"/>
      <c r="WUQ29" s="388"/>
      <c r="WUR29" s="388"/>
      <c r="WUS29" s="388"/>
      <c r="WUT29" s="388"/>
      <c r="WUU29" s="388"/>
      <c r="WUV29" s="388"/>
      <c r="WUW29" s="388"/>
      <c r="WUX29" s="388"/>
      <c r="WUY29" s="388"/>
      <c r="WUZ29" s="388"/>
      <c r="WVA29" s="388"/>
      <c r="WVB29" s="388"/>
      <c r="WVC29" s="388"/>
      <c r="WVD29" s="388"/>
      <c r="WVE29" s="388"/>
      <c r="WVF29" s="388"/>
      <c r="WVG29" s="388"/>
      <c r="WVH29" s="388"/>
      <c r="WVI29" s="388"/>
      <c r="WVJ29" s="388"/>
      <c r="WVK29" s="388"/>
      <c r="WVL29" s="388"/>
      <c r="WVM29" s="388"/>
      <c r="WVN29" s="388"/>
      <c r="WVO29" s="388"/>
      <c r="WVP29" s="388"/>
      <c r="WVQ29" s="388"/>
      <c r="WVR29" s="388"/>
      <c r="WVS29" s="388"/>
      <c r="WVT29" s="388"/>
      <c r="WVU29" s="388"/>
      <c r="WVV29" s="388"/>
      <c r="WVW29" s="388"/>
      <c r="WVX29" s="388"/>
      <c r="WVY29" s="388"/>
      <c r="WVZ29" s="388"/>
      <c r="WWA29" s="388"/>
      <c r="WWB29" s="388"/>
      <c r="WWC29" s="388"/>
      <c r="WWD29" s="388"/>
      <c r="WWE29" s="388"/>
      <c r="WWF29" s="388"/>
      <c r="WWG29" s="388"/>
      <c r="WWH29" s="388"/>
      <c r="WWI29" s="388"/>
      <c r="WWJ29" s="388"/>
      <c r="WWK29" s="388"/>
      <c r="WWL29" s="388"/>
      <c r="WWM29" s="388"/>
      <c r="WWN29" s="388"/>
      <c r="WWO29" s="388"/>
      <c r="WWP29" s="388"/>
      <c r="WWQ29" s="388"/>
      <c r="WWR29" s="388"/>
      <c r="WWS29" s="388"/>
      <c r="WWT29" s="388"/>
      <c r="WWU29" s="388"/>
      <c r="WWV29" s="388"/>
      <c r="WWW29" s="388"/>
      <c r="WWX29" s="388"/>
      <c r="WWY29" s="388"/>
      <c r="WWZ29" s="388"/>
      <c r="WXA29" s="388"/>
      <c r="WXB29" s="388"/>
      <c r="WXC29" s="388"/>
      <c r="WXD29" s="388"/>
      <c r="WXE29" s="388"/>
      <c r="WXF29" s="388"/>
      <c r="WXG29" s="388"/>
      <c r="WXH29" s="388"/>
      <c r="WXI29" s="388"/>
      <c r="WXJ29" s="388"/>
      <c r="WXK29" s="388"/>
      <c r="WXL29" s="388"/>
      <c r="WXM29" s="388"/>
      <c r="WXN29" s="388"/>
      <c r="WXO29" s="388"/>
      <c r="WXP29" s="388"/>
      <c r="WXQ29" s="388"/>
      <c r="WXR29" s="388"/>
      <c r="WXS29" s="388"/>
      <c r="WXT29" s="388"/>
      <c r="WXU29" s="388"/>
      <c r="WXV29" s="388"/>
      <c r="WXW29" s="388"/>
      <c r="WXX29" s="388"/>
      <c r="WXY29" s="388"/>
      <c r="WXZ29" s="388"/>
      <c r="WYA29" s="388"/>
      <c r="WYB29" s="388"/>
      <c r="WYC29" s="388"/>
      <c r="WYD29" s="388"/>
      <c r="WYE29" s="388"/>
      <c r="WYF29" s="388"/>
      <c r="WYG29" s="388"/>
      <c r="WYH29" s="388"/>
      <c r="WYI29" s="388"/>
      <c r="WYJ29" s="388"/>
      <c r="WYK29" s="388"/>
      <c r="WYL29" s="388"/>
      <c r="WYM29" s="388"/>
      <c r="WYN29" s="388"/>
      <c r="WYO29" s="388"/>
      <c r="WYP29" s="388"/>
      <c r="WYQ29" s="388"/>
      <c r="WYR29" s="388"/>
      <c r="WYS29" s="388"/>
      <c r="WYT29" s="388"/>
      <c r="WYU29" s="388"/>
      <c r="WYV29" s="388"/>
      <c r="WYW29" s="388"/>
      <c r="WYX29" s="388"/>
      <c r="WYY29" s="388"/>
      <c r="WYZ29" s="388"/>
      <c r="WZA29" s="388"/>
      <c r="WZB29" s="388"/>
      <c r="WZC29" s="388"/>
      <c r="WZD29" s="388"/>
      <c r="WZE29" s="388"/>
      <c r="WZF29" s="388"/>
      <c r="WZG29" s="388"/>
      <c r="WZH29" s="388"/>
      <c r="WZI29" s="388"/>
      <c r="WZJ29" s="388"/>
      <c r="WZK29" s="388"/>
      <c r="WZL29" s="388"/>
      <c r="WZM29" s="388"/>
      <c r="WZN29" s="388"/>
      <c r="WZO29" s="388"/>
      <c r="WZP29" s="388"/>
      <c r="WZQ29" s="388"/>
      <c r="WZR29" s="388"/>
      <c r="WZS29" s="388"/>
      <c r="WZT29" s="388"/>
      <c r="WZU29" s="388"/>
      <c r="WZV29" s="388"/>
      <c r="WZW29" s="388"/>
      <c r="WZX29" s="388"/>
      <c r="WZY29" s="388"/>
      <c r="WZZ29" s="388"/>
      <c r="XAA29" s="388"/>
      <c r="XAB29" s="388"/>
      <c r="XAC29" s="388"/>
      <c r="XAD29" s="388"/>
      <c r="XAE29" s="388"/>
      <c r="XAF29" s="388"/>
      <c r="XAG29" s="388"/>
      <c r="XAH29" s="388"/>
      <c r="XAI29" s="388"/>
      <c r="XAJ29" s="388"/>
      <c r="XAK29" s="388"/>
      <c r="XAL29" s="388"/>
      <c r="XAM29" s="388"/>
      <c r="XAN29" s="388"/>
      <c r="XAO29" s="388"/>
      <c r="XAP29" s="388"/>
      <c r="XAQ29" s="388"/>
      <c r="XAR29" s="388"/>
      <c r="XAS29" s="388"/>
      <c r="XAT29" s="388"/>
      <c r="XAU29" s="388"/>
      <c r="XAV29" s="388"/>
      <c r="XAW29" s="388"/>
      <c r="XAX29" s="388"/>
      <c r="XAY29" s="388"/>
      <c r="XAZ29" s="388"/>
      <c r="XBA29" s="388"/>
      <c r="XBB29" s="388"/>
      <c r="XBC29" s="388"/>
      <c r="XBD29" s="388"/>
      <c r="XBE29" s="388"/>
      <c r="XBF29" s="388"/>
      <c r="XBG29" s="388"/>
      <c r="XBH29" s="388"/>
      <c r="XBI29" s="388"/>
      <c r="XBJ29" s="388"/>
      <c r="XBK29" s="388"/>
      <c r="XBL29" s="388"/>
      <c r="XBM29" s="388"/>
      <c r="XBN29" s="388"/>
      <c r="XBO29" s="388"/>
      <c r="XBP29" s="388"/>
      <c r="XBQ29" s="388"/>
      <c r="XBR29" s="388"/>
      <c r="XBS29" s="388"/>
      <c r="XBT29" s="388"/>
      <c r="XBU29" s="388"/>
      <c r="XBV29" s="388"/>
      <c r="XBW29" s="388"/>
      <c r="XBX29" s="388"/>
      <c r="XBY29" s="388"/>
      <c r="XBZ29" s="388"/>
      <c r="XCA29" s="388"/>
      <c r="XCB29" s="388"/>
      <c r="XCC29" s="388"/>
      <c r="XCD29" s="388"/>
      <c r="XCE29" s="388"/>
      <c r="XCF29" s="388"/>
      <c r="XCG29" s="388"/>
      <c r="XCH29" s="388"/>
      <c r="XCI29" s="388"/>
      <c r="XCJ29" s="388"/>
      <c r="XCK29" s="388"/>
      <c r="XCL29" s="388"/>
      <c r="XCM29" s="388"/>
      <c r="XCN29" s="388"/>
      <c r="XCO29" s="388"/>
      <c r="XCP29" s="388"/>
      <c r="XCQ29" s="388"/>
      <c r="XCR29" s="388"/>
      <c r="XCS29" s="388"/>
      <c r="XCT29" s="388"/>
      <c r="XCU29" s="388"/>
      <c r="XCV29" s="388"/>
      <c r="XCW29" s="388"/>
      <c r="XCX29" s="388"/>
      <c r="XCY29" s="388"/>
      <c r="XCZ29" s="388"/>
      <c r="XDA29" s="388"/>
      <c r="XDB29" s="388"/>
    </row>
    <row r="30" spans="1:16330" s="358" customFormat="1" ht="12.75" x14ac:dyDescent="0.2">
      <c r="A30" s="792"/>
      <c r="B30" s="653"/>
      <c r="C30" s="367"/>
      <c r="D30" s="367"/>
      <c r="E30" s="368"/>
      <c r="F30" s="370"/>
      <c r="G30" s="370"/>
      <c r="H30" s="370"/>
      <c r="I30" s="370"/>
      <c r="J30" s="370"/>
      <c r="K30" s="370"/>
      <c r="L30" s="371"/>
      <c r="M30" s="371"/>
      <c r="N30" s="371"/>
      <c r="O30" s="372"/>
      <c r="P30" s="372"/>
      <c r="Q30" s="373"/>
      <c r="R30" s="374"/>
      <c r="S30" s="768"/>
      <c r="T30" s="1186"/>
      <c r="U30" s="1186"/>
      <c r="V30" s="1186"/>
      <c r="W30" s="1186"/>
      <c r="X30" s="1187"/>
      <c r="Y30" s="1187"/>
      <c r="Z30" s="1187"/>
      <c r="AA30" s="1186"/>
      <c r="AB30" s="1186"/>
      <c r="AC30" s="1189"/>
      <c r="AD30" s="1186"/>
      <c r="AE30" s="1186"/>
      <c r="AF30" s="1186"/>
      <c r="AG30" s="1186"/>
      <c r="AH30" s="1186"/>
      <c r="AI30" s="1199"/>
      <c r="AJ30" s="1199"/>
      <c r="AK30" s="1199"/>
      <c r="AL30" s="1186"/>
      <c r="AM30" s="1190"/>
      <c r="AN30" s="1198"/>
      <c r="AO30" s="1186"/>
      <c r="AP30" s="1186"/>
      <c r="AQ30" s="1186"/>
      <c r="AR30" s="1199"/>
      <c r="AS30" s="742"/>
      <c r="AT30" s="742"/>
      <c r="AU30" s="742"/>
      <c r="AV30" s="742"/>
      <c r="AW30" s="742"/>
      <c r="AX30" s="742"/>
      <c r="AY30" s="742"/>
      <c r="AZ30" s="738"/>
    </row>
    <row r="31" spans="1:16330" s="358" customFormat="1" ht="12.75" x14ac:dyDescent="0.2">
      <c r="A31" s="792"/>
      <c r="B31" s="653"/>
      <c r="C31" s="367"/>
      <c r="D31" s="367"/>
      <c r="E31" s="368"/>
      <c r="F31" s="370"/>
      <c r="G31" s="370"/>
      <c r="H31" s="370"/>
      <c r="I31" s="370"/>
      <c r="J31" s="370"/>
      <c r="K31" s="370"/>
      <c r="L31" s="371"/>
      <c r="M31" s="371"/>
      <c r="N31" s="371"/>
      <c r="O31" s="372"/>
      <c r="P31" s="372"/>
      <c r="Q31" s="373"/>
      <c r="R31" s="374"/>
      <c r="S31" s="768"/>
      <c r="T31" s="1217"/>
      <c r="U31" s="1217"/>
      <c r="V31" s="1217"/>
      <c r="W31" s="1217"/>
      <c r="X31" s="1218"/>
      <c r="Y31" s="1218"/>
      <c r="Z31" s="1218"/>
      <c r="AA31" s="1217"/>
      <c r="AB31" s="1217"/>
      <c r="AC31" s="1219"/>
      <c r="AD31" s="1217"/>
      <c r="AE31" s="1217"/>
      <c r="AF31" s="1217"/>
      <c r="AG31" s="1217"/>
      <c r="AH31" s="1217"/>
      <c r="AI31" s="1220"/>
      <c r="AJ31" s="1220"/>
      <c r="AK31" s="1220"/>
      <c r="AL31" s="1217"/>
      <c r="AM31" s="1221"/>
      <c r="AN31" s="1222"/>
      <c r="AO31" s="1217"/>
      <c r="AP31" s="1217"/>
      <c r="AQ31" s="1217"/>
      <c r="AR31" s="1223"/>
      <c r="AS31" s="738"/>
      <c r="AT31" s="738"/>
      <c r="AU31" s="738"/>
      <c r="AV31" s="738"/>
      <c r="AW31" s="738"/>
      <c r="AX31" s="738"/>
      <c r="AY31" s="738"/>
      <c r="AZ31" s="738"/>
    </row>
    <row r="32" spans="1:16330" s="358" customFormat="1" ht="12.75" x14ac:dyDescent="0.2">
      <c r="A32" s="792"/>
      <c r="B32" s="653"/>
      <c r="C32" s="367"/>
      <c r="D32" s="367"/>
      <c r="E32" s="368"/>
      <c r="F32" s="370"/>
      <c r="G32" s="370"/>
      <c r="H32" s="370"/>
      <c r="I32" s="370"/>
      <c r="J32" s="370"/>
      <c r="K32" s="370"/>
      <c r="L32" s="371"/>
      <c r="M32" s="371"/>
      <c r="N32" s="371"/>
      <c r="O32" s="372"/>
      <c r="P32" s="372"/>
      <c r="Q32" s="373"/>
      <c r="R32" s="374"/>
      <c r="S32" s="768"/>
      <c r="T32" s="1217"/>
      <c r="U32" s="1217"/>
      <c r="V32" s="1217"/>
      <c r="W32" s="1217"/>
      <c r="X32" s="1218"/>
      <c r="Y32" s="1218"/>
      <c r="Z32" s="1218"/>
      <c r="AA32" s="1217"/>
      <c r="AB32" s="1217"/>
      <c r="AC32" s="1219"/>
      <c r="AD32" s="1217"/>
      <c r="AE32" s="1217"/>
      <c r="AF32" s="1217"/>
      <c r="AG32" s="1217"/>
      <c r="AH32" s="1217"/>
      <c r="AI32" s="1220"/>
      <c r="AJ32" s="1220"/>
      <c r="AK32" s="1220"/>
      <c r="AL32" s="1217"/>
      <c r="AM32" s="1221"/>
      <c r="AN32" s="1222"/>
      <c r="AO32" s="1217"/>
      <c r="AP32" s="1217"/>
      <c r="AQ32" s="1217"/>
      <c r="AR32" s="1223"/>
      <c r="AS32" s="738"/>
      <c r="AT32" s="738"/>
      <c r="AU32" s="738"/>
      <c r="AV32" s="738"/>
      <c r="AW32" s="738"/>
      <c r="AX32" s="738"/>
      <c r="AY32" s="738"/>
      <c r="AZ32" s="738"/>
    </row>
    <row r="33" spans="1:52" s="358" customFormat="1" ht="12.75" x14ac:dyDescent="0.2">
      <c r="A33" s="792"/>
      <c r="B33" s="653"/>
      <c r="C33" s="367"/>
      <c r="D33" s="367"/>
      <c r="E33" s="368"/>
      <c r="F33" s="370"/>
      <c r="G33" s="370"/>
      <c r="H33" s="370"/>
      <c r="I33" s="370"/>
      <c r="J33" s="370"/>
      <c r="K33" s="370"/>
      <c r="L33" s="371"/>
      <c r="M33" s="371"/>
      <c r="N33" s="371"/>
      <c r="O33" s="372"/>
      <c r="P33" s="372"/>
      <c r="Q33" s="373"/>
      <c r="R33" s="374"/>
      <c r="S33" s="768"/>
      <c r="T33" s="1217"/>
      <c r="U33" s="1217"/>
      <c r="V33" s="1217"/>
      <c r="W33" s="1217"/>
      <c r="X33" s="1218"/>
      <c r="Y33" s="1218"/>
      <c r="Z33" s="1218"/>
      <c r="AA33" s="1217"/>
      <c r="AB33" s="1217"/>
      <c r="AC33" s="1219"/>
      <c r="AD33" s="1217"/>
      <c r="AE33" s="1217"/>
      <c r="AF33" s="1217"/>
      <c r="AG33" s="1217"/>
      <c r="AH33" s="1217"/>
      <c r="AI33" s="1220"/>
      <c r="AJ33" s="1220"/>
      <c r="AK33" s="1220"/>
      <c r="AL33" s="1217"/>
      <c r="AM33" s="1221"/>
      <c r="AN33" s="1222"/>
      <c r="AO33" s="1217"/>
      <c r="AP33" s="1217"/>
      <c r="AQ33" s="1217"/>
      <c r="AR33" s="1223"/>
      <c r="AS33" s="738"/>
      <c r="AT33" s="738"/>
      <c r="AU33" s="738"/>
      <c r="AV33" s="738"/>
      <c r="AW33" s="738"/>
      <c r="AX33" s="738"/>
      <c r="AY33" s="738"/>
      <c r="AZ33" s="738"/>
    </row>
    <row r="34" spans="1:52" s="358" customFormat="1" ht="12.75" x14ac:dyDescent="0.2">
      <c r="A34" s="792"/>
      <c r="B34" s="653"/>
      <c r="C34" s="367"/>
      <c r="D34" s="367"/>
      <c r="E34" s="368"/>
      <c r="F34" s="370"/>
      <c r="G34" s="370"/>
      <c r="H34" s="370"/>
      <c r="I34" s="370"/>
      <c r="J34" s="370"/>
      <c r="K34" s="370"/>
      <c r="L34" s="371"/>
      <c r="M34" s="371"/>
      <c r="N34" s="371"/>
      <c r="O34" s="372"/>
      <c r="P34" s="372"/>
      <c r="Q34" s="373"/>
      <c r="R34" s="374"/>
      <c r="S34" s="768"/>
      <c r="T34" s="1217"/>
      <c r="U34" s="1217"/>
      <c r="V34" s="1217"/>
      <c r="W34" s="1217"/>
      <c r="X34" s="1218"/>
      <c r="Y34" s="1218"/>
      <c r="Z34" s="1218"/>
      <c r="AA34" s="1217"/>
      <c r="AB34" s="1217"/>
      <c r="AC34" s="1219"/>
      <c r="AD34" s="1217"/>
      <c r="AE34" s="1217"/>
      <c r="AF34" s="1217"/>
      <c r="AG34" s="1217"/>
      <c r="AH34" s="1217"/>
      <c r="AI34" s="1220"/>
      <c r="AJ34" s="1220"/>
      <c r="AK34" s="1220"/>
      <c r="AL34" s="1217"/>
      <c r="AM34" s="1221"/>
      <c r="AN34" s="1222"/>
      <c r="AO34" s="1217"/>
      <c r="AP34" s="1217"/>
      <c r="AQ34" s="1217"/>
      <c r="AR34" s="1223"/>
      <c r="AS34" s="738"/>
      <c r="AT34" s="738"/>
      <c r="AU34" s="738"/>
      <c r="AV34" s="738"/>
      <c r="AW34" s="738"/>
      <c r="AX34" s="738"/>
      <c r="AY34" s="738"/>
      <c r="AZ34" s="738"/>
    </row>
    <row r="35" spans="1:52" s="358" customFormat="1" ht="13.5" thickBot="1" x14ac:dyDescent="0.25">
      <c r="A35" s="792"/>
      <c r="B35" s="654"/>
      <c r="C35" s="655"/>
      <c r="D35" s="655"/>
      <c r="E35" s="656"/>
      <c r="F35" s="657"/>
      <c r="G35" s="657"/>
      <c r="H35" s="657"/>
      <c r="I35" s="657"/>
      <c r="J35" s="657"/>
      <c r="K35" s="657"/>
      <c r="L35" s="658"/>
      <c r="M35" s="658"/>
      <c r="N35" s="658"/>
      <c r="O35" s="391"/>
      <c r="P35" s="391"/>
      <c r="Q35" s="659"/>
      <c r="R35" s="392"/>
      <c r="S35" s="768"/>
      <c r="T35" s="1217"/>
      <c r="U35" s="1217"/>
      <c r="V35" s="1217"/>
      <c r="W35" s="1217"/>
      <c r="X35" s="1224"/>
      <c r="Y35" s="1224"/>
      <c r="Z35" s="1224"/>
      <c r="AA35" s="1220"/>
      <c r="AB35" s="1220"/>
      <c r="AC35" s="1225"/>
      <c r="AD35" s="1220"/>
      <c r="AE35" s="1220"/>
      <c r="AF35" s="1220"/>
      <c r="AG35" s="1220"/>
      <c r="AH35" s="1220"/>
      <c r="AI35" s="1220"/>
      <c r="AJ35" s="1220"/>
      <c r="AK35" s="1220"/>
      <c r="AL35" s="1217"/>
      <c r="AM35" s="1221"/>
      <c r="AN35" s="1222"/>
      <c r="AO35" s="1217"/>
      <c r="AP35" s="1217"/>
      <c r="AQ35" s="1217"/>
      <c r="AR35" s="1223"/>
      <c r="AS35" s="738"/>
      <c r="AT35" s="738"/>
      <c r="AU35" s="738"/>
      <c r="AV35" s="738"/>
      <c r="AW35" s="738"/>
      <c r="AX35" s="738"/>
      <c r="AY35" s="738"/>
      <c r="AZ35" s="738"/>
    </row>
    <row r="36" spans="1:52" s="358" customFormat="1" ht="8.25" customHeight="1" x14ac:dyDescent="0.2">
      <c r="A36" s="357"/>
      <c r="C36" s="759"/>
      <c r="D36" s="759"/>
      <c r="E36" s="760"/>
      <c r="F36" s="761"/>
      <c r="G36" s="761"/>
      <c r="H36" s="761"/>
      <c r="I36" s="761"/>
      <c r="J36" s="761"/>
      <c r="K36" s="761"/>
      <c r="L36" s="762"/>
      <c r="M36" s="762"/>
      <c r="N36" s="762"/>
      <c r="O36" s="763"/>
      <c r="P36" s="763"/>
      <c r="Q36" s="764"/>
      <c r="R36" s="763"/>
      <c r="S36" s="763"/>
      <c r="T36" s="1226"/>
      <c r="U36" s="1217"/>
      <c r="V36" s="1217"/>
      <c r="W36" s="1217"/>
      <c r="X36" s="1224"/>
      <c r="Y36" s="1224"/>
      <c r="Z36" s="1224"/>
      <c r="AA36" s="1220"/>
      <c r="AB36" s="1220"/>
      <c r="AC36" s="1225"/>
      <c r="AD36" s="1220"/>
      <c r="AE36" s="1220"/>
      <c r="AF36" s="1220"/>
      <c r="AG36" s="1220"/>
      <c r="AH36" s="1220"/>
      <c r="AI36" s="1220"/>
      <c r="AJ36" s="1220"/>
      <c r="AK36" s="1220"/>
      <c r="AL36" s="1217"/>
      <c r="AM36" s="1221"/>
      <c r="AN36" s="1222"/>
      <c r="AO36" s="1217"/>
      <c r="AP36" s="1217"/>
      <c r="AQ36" s="1217"/>
      <c r="AR36" s="357"/>
      <c r="AS36" s="355"/>
      <c r="AT36" s="355"/>
      <c r="AU36" s="355"/>
      <c r="AV36" s="355"/>
      <c r="AW36" s="355"/>
      <c r="AX36" s="355"/>
      <c r="AY36" s="355"/>
      <c r="AZ36" s="355"/>
    </row>
    <row r="37" spans="1:52" s="358" customFormat="1" ht="12.75" x14ac:dyDescent="0.2">
      <c r="A37" s="357"/>
      <c r="E37" s="393"/>
      <c r="F37" s="394"/>
      <c r="G37" s="394"/>
      <c r="H37" s="394"/>
      <c r="I37" s="394"/>
      <c r="J37" s="394"/>
      <c r="K37" s="394"/>
      <c r="L37" s="395"/>
      <c r="M37" s="395"/>
      <c r="N37" s="395"/>
      <c r="O37" s="355"/>
      <c r="P37" s="355"/>
      <c r="Q37" s="357"/>
      <c r="R37" s="355"/>
      <c r="S37" s="356"/>
      <c r="T37" s="1226"/>
      <c r="U37" s="1217"/>
      <c r="V37" s="1217"/>
      <c r="W37" s="1217"/>
      <c r="X37" s="1224"/>
      <c r="Y37" s="1224"/>
      <c r="Z37" s="1224"/>
      <c r="AA37" s="1220"/>
      <c r="AB37" s="1220"/>
      <c r="AC37" s="1225"/>
      <c r="AD37" s="1220"/>
      <c r="AE37" s="1220"/>
      <c r="AF37" s="1220"/>
      <c r="AG37" s="1220"/>
      <c r="AH37" s="1220"/>
      <c r="AI37" s="1220"/>
      <c r="AJ37" s="1220"/>
      <c r="AK37" s="1220"/>
      <c r="AL37" s="1217"/>
      <c r="AM37" s="1221"/>
      <c r="AN37" s="1222"/>
      <c r="AO37" s="1217"/>
      <c r="AP37" s="1217"/>
      <c r="AQ37" s="1217"/>
      <c r="AR37" s="357"/>
      <c r="AS37" s="355"/>
      <c r="AT37" s="355"/>
      <c r="AU37" s="355"/>
      <c r="AV37" s="355"/>
      <c r="AW37" s="355"/>
      <c r="AX37" s="355"/>
      <c r="AY37" s="355"/>
      <c r="AZ37" s="355"/>
    </row>
    <row r="38" spans="1:52" s="358" customFormat="1" ht="12.75" x14ac:dyDescent="0.2">
      <c r="A38" s="357"/>
      <c r="B38" s="666"/>
      <c r="E38" s="393"/>
      <c r="F38" s="667"/>
      <c r="G38" s="394"/>
      <c r="H38" s="394"/>
      <c r="I38" s="394"/>
      <c r="J38" s="394"/>
      <c r="K38" s="394"/>
      <c r="L38" s="395"/>
      <c r="M38" s="395"/>
      <c r="N38" s="395"/>
      <c r="O38" s="355"/>
      <c r="P38" s="355"/>
      <c r="Q38" s="357"/>
      <c r="R38" s="355"/>
      <c r="S38" s="356"/>
      <c r="T38" s="1226"/>
      <c r="U38" s="1217"/>
      <c r="V38" s="1217"/>
      <c r="W38" s="1217"/>
      <c r="X38" s="1224"/>
      <c r="Y38" s="1224"/>
      <c r="Z38" s="1224"/>
      <c r="AA38" s="1220"/>
      <c r="AB38" s="1220"/>
      <c r="AC38" s="1225"/>
      <c r="AD38" s="1220"/>
      <c r="AE38" s="1220"/>
      <c r="AF38" s="1220"/>
      <c r="AG38" s="1220"/>
      <c r="AH38" s="1220"/>
      <c r="AI38" s="1220"/>
      <c r="AJ38" s="1220"/>
      <c r="AK38" s="1220"/>
      <c r="AL38" s="1217"/>
      <c r="AM38" s="1221"/>
      <c r="AN38" s="1222"/>
      <c r="AO38" s="1217"/>
      <c r="AP38" s="1217"/>
      <c r="AQ38" s="1217"/>
      <c r="AR38" s="357"/>
      <c r="AS38" s="355"/>
      <c r="AT38" s="355"/>
      <c r="AU38" s="355"/>
      <c r="AV38" s="355"/>
      <c r="AW38" s="355"/>
      <c r="AX38" s="355"/>
      <c r="AY38" s="355"/>
      <c r="AZ38" s="355"/>
    </row>
    <row r="39" spans="1:52" s="358" customFormat="1" ht="12.75" x14ac:dyDescent="0.2">
      <c r="A39" s="357"/>
      <c r="E39" s="393"/>
      <c r="F39" s="394"/>
      <c r="G39" s="394"/>
      <c r="H39" s="394"/>
      <c r="I39" s="394"/>
      <c r="J39" s="394"/>
      <c r="K39" s="394"/>
      <c r="L39" s="395"/>
      <c r="M39" s="395"/>
      <c r="N39" s="395"/>
      <c r="O39" s="355"/>
      <c r="P39" s="355"/>
      <c r="Q39" s="357"/>
      <c r="R39" s="355"/>
      <c r="S39" s="356"/>
      <c r="T39" s="1226"/>
      <c r="U39" s="1226"/>
      <c r="V39" s="1226"/>
      <c r="W39" s="1226"/>
      <c r="X39" s="1227"/>
      <c r="Y39" s="1227"/>
      <c r="Z39" s="1227"/>
      <c r="AA39" s="1201"/>
      <c r="AB39" s="1201"/>
      <c r="AC39" s="1228"/>
      <c r="AD39" s="1201"/>
      <c r="AE39" s="1201"/>
      <c r="AF39" s="1201"/>
      <c r="AG39" s="1201"/>
      <c r="AH39" s="1201"/>
      <c r="AI39" s="1201"/>
      <c r="AJ39" s="1201"/>
      <c r="AK39" s="1201"/>
      <c r="AL39" s="1226"/>
      <c r="AM39" s="1229"/>
      <c r="AN39" s="1230"/>
      <c r="AO39" s="1226"/>
      <c r="AP39" s="1226"/>
      <c r="AQ39" s="1226"/>
      <c r="AR39" s="357"/>
      <c r="AS39" s="355"/>
      <c r="AT39" s="355"/>
      <c r="AU39" s="355"/>
      <c r="AV39" s="355"/>
      <c r="AW39" s="355"/>
      <c r="AX39" s="355"/>
      <c r="AY39" s="355"/>
      <c r="AZ39" s="355"/>
    </row>
    <row r="40" spans="1:52" s="358" customFormat="1" ht="12.75" x14ac:dyDescent="0.2">
      <c r="A40" s="357"/>
      <c r="E40" s="393"/>
      <c r="F40" s="394"/>
      <c r="G40" s="394"/>
      <c r="H40" s="394"/>
      <c r="I40" s="394"/>
      <c r="J40" s="394"/>
      <c r="K40" s="394"/>
      <c r="L40" s="395"/>
      <c r="M40" s="395"/>
      <c r="N40" s="395"/>
      <c r="O40" s="355"/>
      <c r="P40" s="355"/>
      <c r="Q40" s="357"/>
      <c r="R40" s="355"/>
      <c r="S40" s="356"/>
      <c r="T40" s="1226"/>
      <c r="U40" s="1226"/>
      <c r="V40" s="1226"/>
      <c r="W40" s="1226"/>
      <c r="X40" s="1227"/>
      <c r="Y40" s="1227"/>
      <c r="Z40" s="1227"/>
      <c r="AA40" s="1201"/>
      <c r="AB40" s="1201"/>
      <c r="AC40" s="1228"/>
      <c r="AD40" s="1201"/>
      <c r="AE40" s="1201"/>
      <c r="AF40" s="1201"/>
      <c r="AG40" s="1201"/>
      <c r="AH40" s="1201"/>
      <c r="AI40" s="1201"/>
      <c r="AJ40" s="1201"/>
      <c r="AK40" s="1201"/>
      <c r="AL40" s="1226"/>
      <c r="AM40" s="1229"/>
      <c r="AN40" s="1230"/>
      <c r="AO40" s="1226"/>
      <c r="AP40" s="1226"/>
      <c r="AQ40" s="1226"/>
      <c r="AR40" s="357"/>
      <c r="AS40" s="355"/>
      <c r="AT40" s="355"/>
      <c r="AU40" s="355"/>
      <c r="AV40" s="355"/>
      <c r="AW40" s="355"/>
      <c r="AX40" s="355"/>
      <c r="AY40" s="355"/>
      <c r="AZ40" s="355"/>
    </row>
    <row r="41" spans="1:52" s="358" customFormat="1" ht="12.75" x14ac:dyDescent="0.2">
      <c r="A41" s="357"/>
      <c r="E41" s="393"/>
      <c r="F41" s="394"/>
      <c r="G41" s="394"/>
      <c r="H41" s="394"/>
      <c r="I41" s="394"/>
      <c r="J41" s="394"/>
      <c r="K41" s="394"/>
      <c r="L41" s="395"/>
      <c r="M41" s="395"/>
      <c r="N41" s="395"/>
      <c r="O41" s="355"/>
      <c r="P41" s="355"/>
      <c r="Q41" s="357"/>
      <c r="R41" s="355"/>
      <c r="S41" s="356"/>
      <c r="T41" s="1226"/>
      <c r="U41" s="1226"/>
      <c r="V41" s="1226"/>
      <c r="W41" s="1226"/>
      <c r="X41" s="1227"/>
      <c r="Y41" s="1227"/>
      <c r="Z41" s="1227"/>
      <c r="AA41" s="1201"/>
      <c r="AB41" s="1201"/>
      <c r="AC41" s="1228"/>
      <c r="AD41" s="1201"/>
      <c r="AE41" s="1201"/>
      <c r="AF41" s="1201"/>
      <c r="AG41" s="1201"/>
      <c r="AH41" s="1201"/>
      <c r="AI41" s="1201"/>
      <c r="AJ41" s="1201"/>
      <c r="AK41" s="1201"/>
      <c r="AL41" s="1226"/>
      <c r="AM41" s="1229"/>
      <c r="AN41" s="1230"/>
      <c r="AO41" s="1226"/>
      <c r="AP41" s="1226"/>
      <c r="AQ41" s="1226"/>
      <c r="AR41" s="357"/>
      <c r="AS41" s="355"/>
      <c r="AT41" s="355"/>
      <c r="AU41" s="355"/>
      <c r="AV41" s="355"/>
      <c r="AW41" s="355"/>
      <c r="AX41" s="355"/>
      <c r="AY41" s="355"/>
      <c r="AZ41" s="355"/>
    </row>
    <row r="42" spans="1:52" s="358" customFormat="1" ht="12.75" x14ac:dyDescent="0.2">
      <c r="A42" s="357"/>
      <c r="E42" s="393"/>
      <c r="F42" s="394"/>
      <c r="G42" s="394"/>
      <c r="H42" s="394"/>
      <c r="I42" s="394"/>
      <c r="J42" s="394"/>
      <c r="K42" s="394"/>
      <c r="L42" s="395"/>
      <c r="M42" s="395"/>
      <c r="N42" s="395"/>
      <c r="O42" s="355"/>
      <c r="P42" s="355"/>
      <c r="Q42" s="357"/>
      <c r="R42" s="355"/>
      <c r="S42" s="356"/>
      <c r="T42" s="1226"/>
      <c r="U42" s="1226"/>
      <c r="V42" s="1226"/>
      <c r="W42" s="1226"/>
      <c r="X42" s="1227"/>
      <c r="Y42" s="1227"/>
      <c r="Z42" s="1227"/>
      <c r="AA42" s="1201"/>
      <c r="AB42" s="1201"/>
      <c r="AC42" s="1228"/>
      <c r="AD42" s="1201"/>
      <c r="AE42" s="1201"/>
      <c r="AF42" s="1201"/>
      <c r="AG42" s="1201"/>
      <c r="AH42" s="1201"/>
      <c r="AI42" s="1201"/>
      <c r="AJ42" s="1201"/>
      <c r="AK42" s="1201"/>
      <c r="AL42" s="1226"/>
      <c r="AM42" s="1229"/>
      <c r="AN42" s="1230"/>
      <c r="AO42" s="1226"/>
      <c r="AP42" s="1226"/>
      <c r="AQ42" s="1226"/>
      <c r="AR42" s="357"/>
      <c r="AS42" s="355"/>
      <c r="AT42" s="355"/>
      <c r="AU42" s="355"/>
      <c r="AV42" s="355"/>
      <c r="AW42" s="355"/>
      <c r="AX42" s="355"/>
      <c r="AY42" s="355"/>
      <c r="AZ42" s="355"/>
    </row>
    <row r="43" spans="1:52" s="358" customFormat="1" ht="12.75" x14ac:dyDescent="0.2">
      <c r="A43" s="357"/>
      <c r="E43" s="393"/>
      <c r="F43" s="394"/>
      <c r="G43" s="394"/>
      <c r="H43" s="394"/>
      <c r="I43" s="394"/>
      <c r="J43" s="394"/>
      <c r="K43" s="394"/>
      <c r="L43" s="395"/>
      <c r="M43" s="395"/>
      <c r="N43" s="395"/>
      <c r="O43" s="355"/>
      <c r="P43" s="355"/>
      <c r="Q43" s="357"/>
      <c r="R43" s="355"/>
      <c r="S43" s="356"/>
      <c r="T43" s="1226"/>
      <c r="U43" s="1226"/>
      <c r="V43" s="1226"/>
      <c r="W43" s="1226"/>
      <c r="X43" s="1227"/>
      <c r="Y43" s="1227"/>
      <c r="Z43" s="1227"/>
      <c r="AA43" s="1201"/>
      <c r="AB43" s="1201"/>
      <c r="AC43" s="1228"/>
      <c r="AD43" s="1201"/>
      <c r="AE43" s="1201"/>
      <c r="AF43" s="1201"/>
      <c r="AG43" s="1201"/>
      <c r="AH43" s="1201"/>
      <c r="AI43" s="1201"/>
      <c r="AJ43" s="1201"/>
      <c r="AK43" s="1201"/>
      <c r="AL43" s="1226"/>
      <c r="AM43" s="1229"/>
      <c r="AN43" s="1230"/>
      <c r="AO43" s="1226"/>
      <c r="AP43" s="1226"/>
      <c r="AQ43" s="1226"/>
      <c r="AR43" s="357"/>
      <c r="AS43" s="355"/>
      <c r="AT43" s="355"/>
      <c r="AU43" s="355"/>
      <c r="AV43" s="355"/>
      <c r="AW43" s="355"/>
      <c r="AX43" s="355"/>
      <c r="AY43" s="355"/>
      <c r="AZ43" s="355"/>
    </row>
    <row r="44" spans="1:52" s="358" customFormat="1" ht="12.75" x14ac:dyDescent="0.2">
      <c r="A44" s="357"/>
      <c r="E44" s="393"/>
      <c r="F44" s="394"/>
      <c r="G44" s="394"/>
      <c r="H44" s="394"/>
      <c r="I44" s="394"/>
      <c r="J44" s="394"/>
      <c r="K44" s="394"/>
      <c r="L44" s="395"/>
      <c r="M44" s="395"/>
      <c r="N44" s="395"/>
      <c r="O44" s="355"/>
      <c r="P44" s="355"/>
      <c r="Q44" s="357"/>
      <c r="R44" s="355"/>
      <c r="S44" s="356"/>
      <c r="T44" s="1226"/>
      <c r="U44" s="1226"/>
      <c r="V44" s="1226"/>
      <c r="W44" s="1226"/>
      <c r="X44" s="1227"/>
      <c r="Y44" s="1227"/>
      <c r="Z44" s="1227"/>
      <c r="AA44" s="1201"/>
      <c r="AB44" s="1201"/>
      <c r="AC44" s="1228"/>
      <c r="AD44" s="1201"/>
      <c r="AE44" s="1201"/>
      <c r="AF44" s="1201"/>
      <c r="AG44" s="1201"/>
      <c r="AH44" s="1201"/>
      <c r="AI44" s="1201"/>
      <c r="AJ44" s="1201"/>
      <c r="AK44" s="1201"/>
      <c r="AL44" s="1226"/>
      <c r="AM44" s="1229"/>
      <c r="AN44" s="1230"/>
      <c r="AO44" s="1226"/>
      <c r="AP44" s="1226"/>
      <c r="AQ44" s="1226"/>
      <c r="AR44" s="357"/>
      <c r="AS44" s="355"/>
      <c r="AT44" s="355"/>
      <c r="AU44" s="355"/>
      <c r="AV44" s="355"/>
      <c r="AW44" s="355"/>
      <c r="AX44" s="355"/>
      <c r="AY44" s="355"/>
      <c r="AZ44" s="355"/>
    </row>
    <row r="45" spans="1:52" s="358" customFormat="1" ht="12.75" x14ac:dyDescent="0.2">
      <c r="A45" s="357"/>
      <c r="E45" s="393"/>
      <c r="F45" s="394"/>
      <c r="G45" s="394"/>
      <c r="H45" s="394"/>
      <c r="I45" s="394"/>
      <c r="J45" s="394"/>
      <c r="K45" s="394"/>
      <c r="L45" s="395"/>
      <c r="M45" s="395"/>
      <c r="N45" s="395"/>
      <c r="O45" s="355"/>
      <c r="P45" s="355"/>
      <c r="Q45" s="357"/>
      <c r="R45" s="355"/>
      <c r="S45" s="356"/>
      <c r="T45" s="1226"/>
      <c r="U45" s="1226"/>
      <c r="V45" s="1226"/>
      <c r="W45" s="1226"/>
      <c r="X45" s="1227"/>
      <c r="Y45" s="1227"/>
      <c r="Z45" s="1227"/>
      <c r="AA45" s="1201"/>
      <c r="AB45" s="1201"/>
      <c r="AC45" s="1228"/>
      <c r="AD45" s="1201"/>
      <c r="AE45" s="1201"/>
      <c r="AF45" s="1201"/>
      <c r="AG45" s="1201"/>
      <c r="AH45" s="1201"/>
      <c r="AI45" s="1201"/>
      <c r="AJ45" s="1201"/>
      <c r="AK45" s="1201"/>
      <c r="AL45" s="1226"/>
      <c r="AM45" s="1229"/>
      <c r="AN45" s="1230"/>
      <c r="AO45" s="1226"/>
      <c r="AP45" s="1226"/>
      <c r="AQ45" s="1226"/>
      <c r="AR45" s="357"/>
      <c r="AS45" s="355"/>
      <c r="AT45" s="355"/>
      <c r="AU45" s="355"/>
      <c r="AV45" s="355"/>
      <c r="AW45" s="355"/>
      <c r="AX45" s="355"/>
      <c r="AY45" s="355"/>
      <c r="AZ45" s="355"/>
    </row>
    <row r="46" spans="1:52" s="358" customFormat="1" ht="12.75" x14ac:dyDescent="0.2">
      <c r="A46" s="357"/>
      <c r="E46" s="393"/>
      <c r="F46" s="394"/>
      <c r="G46" s="394"/>
      <c r="H46" s="394"/>
      <c r="I46" s="394"/>
      <c r="J46" s="394"/>
      <c r="K46" s="394"/>
      <c r="L46" s="395"/>
      <c r="M46" s="395"/>
      <c r="N46" s="395"/>
      <c r="O46" s="355"/>
      <c r="P46" s="355"/>
      <c r="Q46" s="357"/>
      <c r="R46" s="355"/>
      <c r="S46" s="356"/>
      <c r="T46" s="1226"/>
      <c r="U46" s="1226"/>
      <c r="V46" s="1226"/>
      <c r="W46" s="1226"/>
      <c r="X46" s="1227"/>
      <c r="Y46" s="1227"/>
      <c r="Z46" s="1227"/>
      <c r="AA46" s="1201"/>
      <c r="AB46" s="1201"/>
      <c r="AC46" s="1228"/>
      <c r="AD46" s="1201"/>
      <c r="AE46" s="1201"/>
      <c r="AF46" s="1201"/>
      <c r="AG46" s="1201"/>
      <c r="AH46" s="1201"/>
      <c r="AI46" s="1201"/>
      <c r="AJ46" s="1201"/>
      <c r="AK46" s="1201"/>
      <c r="AL46" s="1226"/>
      <c r="AM46" s="1229"/>
      <c r="AN46" s="1230"/>
      <c r="AO46" s="1226"/>
      <c r="AP46" s="1226"/>
      <c r="AQ46" s="1226"/>
      <c r="AR46" s="357"/>
      <c r="AS46" s="355"/>
      <c r="AT46" s="355"/>
      <c r="AU46" s="355"/>
      <c r="AV46" s="355"/>
      <c r="AW46" s="355"/>
      <c r="AX46" s="355"/>
      <c r="AY46" s="355"/>
      <c r="AZ46" s="355"/>
    </row>
    <row r="47" spans="1:52" s="358" customFormat="1" ht="12.75" x14ac:dyDescent="0.2">
      <c r="A47" s="357"/>
      <c r="E47" s="393"/>
      <c r="F47" s="394"/>
      <c r="G47" s="394"/>
      <c r="H47" s="394"/>
      <c r="I47" s="394"/>
      <c r="J47" s="394"/>
      <c r="K47" s="394"/>
      <c r="L47" s="395"/>
      <c r="M47" s="395"/>
      <c r="N47" s="395"/>
      <c r="O47" s="355"/>
      <c r="P47" s="355"/>
      <c r="Q47" s="357"/>
      <c r="R47" s="355"/>
      <c r="S47" s="356"/>
      <c r="T47" s="1226"/>
      <c r="U47" s="1226"/>
      <c r="V47" s="1226"/>
      <c r="W47" s="1226"/>
      <c r="X47" s="1227"/>
      <c r="Y47" s="1227"/>
      <c r="Z47" s="1227"/>
      <c r="AA47" s="1201"/>
      <c r="AB47" s="1201"/>
      <c r="AC47" s="1228"/>
      <c r="AD47" s="1201"/>
      <c r="AE47" s="1201"/>
      <c r="AF47" s="1201"/>
      <c r="AG47" s="1201"/>
      <c r="AH47" s="1201"/>
      <c r="AI47" s="1201"/>
      <c r="AJ47" s="1201"/>
      <c r="AK47" s="1201"/>
      <c r="AL47" s="1226"/>
      <c r="AM47" s="1229"/>
      <c r="AN47" s="1230"/>
      <c r="AO47" s="1226"/>
      <c r="AP47" s="1226"/>
      <c r="AQ47" s="1226"/>
      <c r="AR47" s="357"/>
      <c r="AS47" s="355"/>
      <c r="AT47" s="355"/>
      <c r="AU47" s="355"/>
      <c r="AV47" s="355"/>
      <c r="AW47" s="355"/>
      <c r="AX47" s="355"/>
      <c r="AY47" s="355"/>
      <c r="AZ47" s="355"/>
    </row>
    <row r="48" spans="1:52" s="358" customFormat="1" ht="12.75" x14ac:dyDescent="0.2">
      <c r="A48" s="357"/>
      <c r="E48" s="393"/>
      <c r="F48" s="394"/>
      <c r="G48" s="394"/>
      <c r="H48" s="394"/>
      <c r="I48" s="394"/>
      <c r="J48" s="394"/>
      <c r="K48" s="394"/>
      <c r="L48" s="395"/>
      <c r="M48" s="395"/>
      <c r="N48" s="395"/>
      <c r="O48" s="355"/>
      <c r="P48" s="355"/>
      <c r="Q48" s="357"/>
      <c r="R48" s="355"/>
      <c r="S48" s="356"/>
      <c r="T48" s="1226"/>
      <c r="U48" s="1226"/>
      <c r="V48" s="1226"/>
      <c r="W48" s="1226"/>
      <c r="X48" s="1227"/>
      <c r="Y48" s="1227"/>
      <c r="Z48" s="1227"/>
      <c r="AA48" s="1201"/>
      <c r="AB48" s="1201"/>
      <c r="AC48" s="1228"/>
      <c r="AD48" s="1201"/>
      <c r="AE48" s="1201"/>
      <c r="AF48" s="1201"/>
      <c r="AG48" s="1201"/>
      <c r="AH48" s="1201"/>
      <c r="AI48" s="1201"/>
      <c r="AJ48" s="1201"/>
      <c r="AK48" s="1201"/>
      <c r="AL48" s="1226"/>
      <c r="AM48" s="1229"/>
      <c r="AN48" s="1230"/>
      <c r="AO48" s="1226"/>
      <c r="AP48" s="1226"/>
      <c r="AQ48" s="1226"/>
      <c r="AR48" s="357"/>
      <c r="AS48" s="355"/>
      <c r="AT48" s="355"/>
      <c r="AU48" s="355"/>
      <c r="AV48" s="355"/>
      <c r="AW48" s="355"/>
      <c r="AX48" s="355"/>
      <c r="AY48" s="355"/>
      <c r="AZ48" s="355"/>
    </row>
    <row r="49" spans="1:53" s="358" customFormat="1" ht="12.75" x14ac:dyDescent="0.2">
      <c r="A49" s="357"/>
      <c r="E49" s="393"/>
      <c r="F49" s="394"/>
      <c r="G49" s="394"/>
      <c r="H49" s="394"/>
      <c r="I49" s="394"/>
      <c r="J49" s="394"/>
      <c r="K49" s="394"/>
      <c r="L49" s="395"/>
      <c r="M49" s="395"/>
      <c r="N49" s="395"/>
      <c r="O49" s="355"/>
      <c r="P49" s="355"/>
      <c r="Q49" s="357"/>
      <c r="R49" s="355"/>
      <c r="S49" s="356"/>
      <c r="T49" s="1226"/>
      <c r="U49" s="1226"/>
      <c r="V49" s="1226"/>
      <c r="W49" s="1226"/>
      <c r="X49" s="1227"/>
      <c r="Y49" s="1227"/>
      <c r="Z49" s="1227"/>
      <c r="AA49" s="1201"/>
      <c r="AB49" s="1201"/>
      <c r="AC49" s="1228"/>
      <c r="AD49" s="1201"/>
      <c r="AE49" s="1201"/>
      <c r="AF49" s="1201"/>
      <c r="AG49" s="1201"/>
      <c r="AH49" s="1201"/>
      <c r="AI49" s="1201"/>
      <c r="AJ49" s="1201"/>
      <c r="AK49" s="1201"/>
      <c r="AL49" s="1226"/>
      <c r="AM49" s="1229"/>
      <c r="AN49" s="1230"/>
      <c r="AO49" s="1226"/>
      <c r="AP49" s="1226"/>
      <c r="AQ49" s="1226"/>
      <c r="AR49" s="357"/>
      <c r="AS49" s="355"/>
      <c r="AT49" s="355"/>
      <c r="AU49" s="355"/>
      <c r="AV49" s="355"/>
      <c r="AW49" s="355"/>
      <c r="AX49" s="355"/>
      <c r="AY49" s="355"/>
      <c r="AZ49" s="355"/>
    </row>
    <row r="50" spans="1:53" s="358" customFormat="1" ht="12.75" x14ac:dyDescent="0.2">
      <c r="A50" s="357"/>
      <c r="E50" s="393"/>
      <c r="F50" s="394"/>
      <c r="G50" s="394"/>
      <c r="H50" s="394"/>
      <c r="I50" s="394"/>
      <c r="J50" s="394"/>
      <c r="K50" s="394"/>
      <c r="L50" s="395"/>
      <c r="M50" s="395"/>
      <c r="N50" s="395"/>
      <c r="O50" s="355"/>
      <c r="P50" s="355"/>
      <c r="Q50" s="357"/>
      <c r="R50" s="355"/>
      <c r="S50" s="356"/>
      <c r="T50" s="1226"/>
      <c r="U50" s="1226"/>
      <c r="V50" s="1226"/>
      <c r="W50" s="1226"/>
      <c r="X50" s="1227"/>
      <c r="Y50" s="1227"/>
      <c r="Z50" s="1227"/>
      <c r="AA50" s="1201"/>
      <c r="AB50" s="1201"/>
      <c r="AC50" s="1228"/>
      <c r="AD50" s="1201"/>
      <c r="AE50" s="1201"/>
      <c r="AF50" s="1201"/>
      <c r="AG50" s="1201"/>
      <c r="AH50" s="1201"/>
      <c r="AI50" s="1201"/>
      <c r="AJ50" s="1201"/>
      <c r="AK50" s="1201"/>
      <c r="AL50" s="1226"/>
      <c r="AM50" s="1229"/>
      <c r="AN50" s="1230"/>
      <c r="AO50" s="1226"/>
      <c r="AP50" s="1226"/>
      <c r="AQ50" s="1226"/>
      <c r="AR50" s="357"/>
      <c r="AS50" s="355"/>
      <c r="AT50" s="355"/>
      <c r="AU50" s="355"/>
      <c r="AV50" s="355"/>
      <c r="AW50" s="355"/>
      <c r="AX50" s="355"/>
      <c r="AY50" s="355"/>
      <c r="AZ50" s="355"/>
    </row>
    <row r="51" spans="1:53" s="358" customFormat="1" ht="12.75" x14ac:dyDescent="0.2">
      <c r="A51" s="357"/>
      <c r="E51" s="393"/>
      <c r="F51" s="394"/>
      <c r="G51" s="394"/>
      <c r="H51" s="394"/>
      <c r="I51" s="394"/>
      <c r="J51" s="394"/>
      <c r="K51" s="394"/>
      <c r="L51" s="395"/>
      <c r="M51" s="395"/>
      <c r="N51" s="395"/>
      <c r="O51" s="355"/>
      <c r="P51" s="355"/>
      <c r="Q51" s="357"/>
      <c r="R51" s="355"/>
      <c r="S51" s="356"/>
      <c r="T51" s="1226"/>
      <c r="U51" s="1226"/>
      <c r="V51" s="1226"/>
      <c r="W51" s="1226"/>
      <c r="X51" s="1227"/>
      <c r="Y51" s="1227"/>
      <c r="Z51" s="1227"/>
      <c r="AA51" s="1201"/>
      <c r="AB51" s="1201"/>
      <c r="AC51" s="1228"/>
      <c r="AD51" s="1201"/>
      <c r="AE51" s="1201"/>
      <c r="AF51" s="1201"/>
      <c r="AG51" s="1201"/>
      <c r="AH51" s="1201"/>
      <c r="AI51" s="1201"/>
      <c r="AJ51" s="1201"/>
      <c r="AK51" s="1201"/>
      <c r="AL51" s="1226"/>
      <c r="AM51" s="1229"/>
      <c r="AN51" s="1230"/>
      <c r="AO51" s="1226"/>
      <c r="AP51" s="1226"/>
      <c r="AQ51" s="1226"/>
      <c r="AR51" s="357"/>
      <c r="AS51" s="355"/>
      <c r="AT51" s="355"/>
      <c r="AU51" s="355"/>
      <c r="AV51" s="355"/>
      <c r="AW51" s="355"/>
      <c r="AX51" s="355"/>
      <c r="AY51" s="355"/>
      <c r="AZ51" s="355"/>
    </row>
    <row r="52" spans="1:53" s="358" customFormat="1" ht="12.75" x14ac:dyDescent="0.2">
      <c r="A52" s="357"/>
      <c r="E52" s="393"/>
      <c r="F52" s="394"/>
      <c r="G52" s="394"/>
      <c r="H52" s="394"/>
      <c r="I52" s="394"/>
      <c r="J52" s="394"/>
      <c r="K52" s="394"/>
      <c r="L52" s="395"/>
      <c r="M52" s="395"/>
      <c r="N52" s="395"/>
      <c r="O52" s="355"/>
      <c r="P52" s="355"/>
      <c r="Q52" s="357"/>
      <c r="R52" s="355"/>
      <c r="S52" s="356"/>
      <c r="T52" s="1226"/>
      <c r="U52" s="1226"/>
      <c r="V52" s="1226"/>
      <c r="W52" s="1226"/>
      <c r="X52" s="1227"/>
      <c r="Y52" s="1227"/>
      <c r="Z52" s="1227"/>
      <c r="AA52" s="1201"/>
      <c r="AB52" s="1201"/>
      <c r="AC52" s="1228"/>
      <c r="AD52" s="1201"/>
      <c r="AE52" s="1201"/>
      <c r="AF52" s="1201"/>
      <c r="AG52" s="1201"/>
      <c r="AH52" s="1201"/>
      <c r="AI52" s="1201"/>
      <c r="AJ52" s="1201"/>
      <c r="AK52" s="1201"/>
      <c r="AL52" s="1226"/>
      <c r="AM52" s="1229"/>
      <c r="AN52" s="1230"/>
      <c r="AO52" s="1226"/>
      <c r="AP52" s="1226"/>
      <c r="AQ52" s="1226"/>
      <c r="AR52" s="357"/>
      <c r="AS52" s="355"/>
      <c r="AT52" s="355"/>
      <c r="AU52" s="355"/>
      <c r="AV52" s="355"/>
      <c r="AW52" s="355"/>
      <c r="AX52" s="355"/>
      <c r="AY52" s="355"/>
      <c r="AZ52" s="355"/>
    </row>
    <row r="53" spans="1:53" s="358" customFormat="1" ht="12.75" x14ac:dyDescent="0.2">
      <c r="A53" s="357"/>
      <c r="E53" s="393"/>
      <c r="F53" s="394"/>
      <c r="G53" s="394"/>
      <c r="H53" s="394"/>
      <c r="I53" s="394"/>
      <c r="J53" s="394"/>
      <c r="K53" s="394"/>
      <c r="L53" s="395"/>
      <c r="M53" s="395"/>
      <c r="N53" s="395"/>
      <c r="O53" s="355"/>
      <c r="P53" s="355"/>
      <c r="Q53" s="357"/>
      <c r="R53" s="355"/>
      <c r="S53" s="356"/>
      <c r="T53" s="1226"/>
      <c r="U53" s="1226"/>
      <c r="V53" s="1226"/>
      <c r="W53" s="1226"/>
      <c r="X53" s="1227"/>
      <c r="Y53" s="1227"/>
      <c r="Z53" s="1227"/>
      <c r="AA53" s="1201"/>
      <c r="AB53" s="1201"/>
      <c r="AC53" s="1228"/>
      <c r="AD53" s="1201"/>
      <c r="AE53" s="1201"/>
      <c r="AF53" s="1201"/>
      <c r="AG53" s="1201"/>
      <c r="AH53" s="1201"/>
      <c r="AI53" s="1201"/>
      <c r="AJ53" s="1201"/>
      <c r="AK53" s="1201"/>
      <c r="AL53" s="1226"/>
      <c r="AM53" s="1229"/>
      <c r="AN53" s="1230"/>
      <c r="AO53" s="1226"/>
      <c r="AP53" s="1226"/>
      <c r="AQ53" s="1226"/>
      <c r="AR53" s="357"/>
      <c r="AS53" s="355"/>
      <c r="AT53" s="355"/>
      <c r="AU53" s="355"/>
      <c r="AV53" s="355"/>
      <c r="AW53" s="355"/>
      <c r="AX53" s="355"/>
      <c r="AY53" s="355"/>
      <c r="AZ53" s="355"/>
    </row>
    <row r="54" spans="1:53" s="358" customFormat="1" ht="12.75" x14ac:dyDescent="0.2">
      <c r="A54" s="357"/>
      <c r="E54" s="393"/>
      <c r="F54" s="394"/>
      <c r="G54" s="394"/>
      <c r="H54" s="394"/>
      <c r="I54" s="394"/>
      <c r="J54" s="394"/>
      <c r="K54" s="394"/>
      <c r="L54" s="395"/>
      <c r="M54" s="395"/>
      <c r="N54" s="395"/>
      <c r="O54" s="355"/>
      <c r="P54" s="355"/>
      <c r="Q54" s="357"/>
      <c r="R54" s="355"/>
      <c r="S54" s="356"/>
      <c r="T54" s="1226"/>
      <c r="U54" s="1226"/>
      <c r="V54" s="1226"/>
      <c r="W54" s="1226"/>
      <c r="X54" s="1227"/>
      <c r="Y54" s="1227"/>
      <c r="Z54" s="1227"/>
      <c r="AA54" s="1201"/>
      <c r="AB54" s="1201"/>
      <c r="AC54" s="1228"/>
      <c r="AD54" s="1201"/>
      <c r="AE54" s="1201"/>
      <c r="AF54" s="1201"/>
      <c r="AG54" s="1201"/>
      <c r="AH54" s="1201"/>
      <c r="AI54" s="1201"/>
      <c r="AJ54" s="1201"/>
      <c r="AK54" s="1201"/>
      <c r="AL54" s="1226"/>
      <c r="AM54" s="1229"/>
      <c r="AN54" s="1230"/>
      <c r="AO54" s="1226"/>
      <c r="AP54" s="1226"/>
      <c r="AQ54" s="1226"/>
      <c r="AR54" s="357"/>
      <c r="AS54" s="355"/>
      <c r="AT54" s="355"/>
      <c r="AU54" s="355"/>
      <c r="AV54" s="355"/>
      <c r="AW54" s="355"/>
      <c r="AX54" s="355"/>
      <c r="AY54" s="355"/>
      <c r="AZ54" s="355"/>
    </row>
    <row r="55" spans="1:53" s="358" customFormat="1" ht="12.75" x14ac:dyDescent="0.2">
      <c r="A55" s="357"/>
      <c r="E55" s="393"/>
      <c r="F55" s="394"/>
      <c r="G55" s="394"/>
      <c r="H55" s="394"/>
      <c r="I55" s="394"/>
      <c r="J55" s="394"/>
      <c r="K55" s="394"/>
      <c r="L55" s="395"/>
      <c r="M55" s="395"/>
      <c r="N55" s="395"/>
      <c r="O55" s="355"/>
      <c r="P55" s="355"/>
      <c r="Q55" s="357"/>
      <c r="R55" s="355"/>
      <c r="S55" s="356"/>
      <c r="T55" s="1226"/>
      <c r="U55" s="1226"/>
      <c r="V55" s="1226"/>
      <c r="W55" s="1226"/>
      <c r="X55" s="1227"/>
      <c r="Y55" s="1227"/>
      <c r="Z55" s="1227"/>
      <c r="AA55" s="1201"/>
      <c r="AB55" s="1201"/>
      <c r="AC55" s="1228"/>
      <c r="AD55" s="1201"/>
      <c r="AE55" s="1201"/>
      <c r="AF55" s="1201"/>
      <c r="AG55" s="1201"/>
      <c r="AH55" s="1201"/>
      <c r="AI55" s="1201"/>
      <c r="AJ55" s="1201"/>
      <c r="AK55" s="1201"/>
      <c r="AL55" s="1226"/>
      <c r="AM55" s="1229"/>
      <c r="AN55" s="1230"/>
      <c r="AO55" s="1226"/>
      <c r="AP55" s="1226"/>
      <c r="AQ55" s="1226"/>
      <c r="AR55" s="357"/>
      <c r="AS55" s="355"/>
      <c r="AT55" s="355"/>
      <c r="AU55" s="355"/>
      <c r="AV55" s="355"/>
      <c r="AW55" s="355"/>
      <c r="AX55" s="355"/>
      <c r="AY55" s="355"/>
      <c r="AZ55" s="355"/>
    </row>
    <row r="56" spans="1:53" s="358" customFormat="1" ht="12.75" x14ac:dyDescent="0.2">
      <c r="A56" s="357"/>
      <c r="E56" s="393"/>
      <c r="F56" s="394"/>
      <c r="G56" s="394"/>
      <c r="H56" s="394"/>
      <c r="I56" s="394"/>
      <c r="J56" s="394"/>
      <c r="K56" s="394"/>
      <c r="L56" s="395"/>
      <c r="M56" s="395"/>
      <c r="N56" s="395"/>
      <c r="O56" s="355"/>
      <c r="P56" s="355"/>
      <c r="Q56" s="357"/>
      <c r="R56" s="355"/>
      <c r="S56" s="356"/>
      <c r="T56" s="1226"/>
      <c r="U56" s="1226"/>
      <c r="V56" s="1226"/>
      <c r="W56" s="1226"/>
      <c r="X56" s="1227"/>
      <c r="Y56" s="1227"/>
      <c r="Z56" s="1227"/>
      <c r="AA56" s="1201"/>
      <c r="AB56" s="1201"/>
      <c r="AC56" s="1228"/>
      <c r="AD56" s="1201"/>
      <c r="AE56" s="1201"/>
      <c r="AF56" s="1201"/>
      <c r="AG56" s="1201"/>
      <c r="AH56" s="1201"/>
      <c r="AI56" s="1201"/>
      <c r="AJ56" s="1201"/>
      <c r="AK56" s="1201"/>
      <c r="AL56" s="1226"/>
      <c r="AM56" s="1229"/>
      <c r="AN56" s="1230"/>
      <c r="AO56" s="1226"/>
      <c r="AP56" s="1226"/>
      <c r="AQ56" s="1226"/>
      <c r="AR56" s="357"/>
      <c r="AS56" s="355"/>
      <c r="AT56" s="355"/>
      <c r="AU56" s="355"/>
      <c r="AV56" s="355"/>
      <c r="AW56" s="355"/>
      <c r="AX56" s="355"/>
      <c r="AY56" s="355"/>
      <c r="AZ56" s="355"/>
    </row>
    <row r="57" spans="1:53" s="358" customFormat="1" ht="12.75" x14ac:dyDescent="0.2">
      <c r="A57" s="357"/>
      <c r="E57" s="393"/>
      <c r="F57" s="394"/>
      <c r="G57" s="394"/>
      <c r="H57" s="394"/>
      <c r="I57" s="394"/>
      <c r="J57" s="394"/>
      <c r="K57" s="394"/>
      <c r="L57" s="395"/>
      <c r="M57" s="395"/>
      <c r="N57" s="395"/>
      <c r="O57" s="355"/>
      <c r="P57" s="355"/>
      <c r="Q57" s="357"/>
      <c r="R57" s="355"/>
      <c r="S57" s="356"/>
      <c r="T57" s="1226"/>
      <c r="U57" s="1226"/>
      <c r="V57" s="1226"/>
      <c r="W57" s="1226"/>
      <c r="X57" s="1227"/>
      <c r="Y57" s="1227"/>
      <c r="Z57" s="1227"/>
      <c r="AA57" s="1201"/>
      <c r="AB57" s="1201"/>
      <c r="AC57" s="1228"/>
      <c r="AD57" s="1201"/>
      <c r="AE57" s="1201"/>
      <c r="AF57" s="1201"/>
      <c r="AG57" s="1201"/>
      <c r="AH57" s="1201"/>
      <c r="AI57" s="1201"/>
      <c r="AJ57" s="1201"/>
      <c r="AK57" s="1201"/>
      <c r="AL57" s="1226"/>
      <c r="AM57" s="1229"/>
      <c r="AN57" s="1230"/>
      <c r="AO57" s="1226"/>
      <c r="AP57" s="1226"/>
      <c r="AQ57" s="1226"/>
      <c r="AR57" s="357"/>
      <c r="AS57" s="355"/>
      <c r="AT57" s="355"/>
      <c r="AU57" s="355"/>
      <c r="AV57" s="355"/>
      <c r="AW57" s="355"/>
      <c r="AX57" s="355"/>
      <c r="AY57" s="355"/>
      <c r="AZ57" s="355"/>
    </row>
    <row r="58" spans="1:53" s="2" customFormat="1" x14ac:dyDescent="0.25">
      <c r="A58" s="217"/>
      <c r="E58" s="4"/>
      <c r="F58" s="3"/>
      <c r="G58" s="3"/>
      <c r="H58" s="3"/>
      <c r="I58" s="3"/>
      <c r="J58" s="3"/>
      <c r="K58" s="3"/>
      <c r="L58" s="13"/>
      <c r="M58" s="13"/>
      <c r="N58" s="13"/>
      <c r="O58" s="14"/>
      <c r="P58" s="14"/>
      <c r="Q58" s="217"/>
      <c r="R58" s="14"/>
      <c r="S58" s="733"/>
      <c r="T58" s="1231"/>
      <c r="U58" s="1231"/>
      <c r="V58" s="1231"/>
      <c r="W58" s="1231"/>
      <c r="X58" s="1232"/>
      <c r="Y58" s="1232"/>
      <c r="Z58" s="1232"/>
      <c r="AA58" s="1233"/>
      <c r="AB58" s="1233"/>
      <c r="AC58" s="1234"/>
      <c r="AD58" s="1233"/>
      <c r="AE58" s="1233"/>
      <c r="AF58" s="1233"/>
      <c r="AG58" s="1233"/>
      <c r="AH58" s="1233"/>
      <c r="AI58" s="1233"/>
      <c r="AJ58" s="1233"/>
      <c r="AK58" s="1233"/>
      <c r="AL58" s="1231"/>
      <c r="AM58" s="1235"/>
      <c r="AN58" s="1236"/>
      <c r="AO58" s="1231"/>
      <c r="AP58" s="1231"/>
      <c r="AQ58" s="1231"/>
      <c r="AR58" s="1237"/>
      <c r="AS58" s="734"/>
      <c r="AT58" s="734"/>
      <c r="AU58" s="734"/>
      <c r="AV58" s="734"/>
      <c r="AW58" s="734"/>
      <c r="AX58" s="734"/>
      <c r="AY58" s="734"/>
      <c r="AZ58" s="734"/>
      <c r="BA58" s="735"/>
    </row>
    <row r="59" spans="1:53" s="2" customFormat="1" x14ac:dyDescent="0.25">
      <c r="A59" s="217"/>
      <c r="E59" s="4"/>
      <c r="F59" s="3"/>
      <c r="G59" s="3"/>
      <c r="H59" s="3"/>
      <c r="I59" s="3"/>
      <c r="J59" s="3"/>
      <c r="K59" s="3"/>
      <c r="L59" s="13"/>
      <c r="M59" s="13"/>
      <c r="N59" s="13"/>
      <c r="O59" s="14"/>
      <c r="P59" s="14"/>
      <c r="Q59" s="217"/>
      <c r="R59" s="14"/>
      <c r="S59" s="733"/>
      <c r="T59" s="1231"/>
      <c r="U59" s="1231"/>
      <c r="V59" s="1231"/>
      <c r="W59" s="1231"/>
      <c r="X59" s="1232"/>
      <c r="Y59" s="1232"/>
      <c r="Z59" s="1232"/>
      <c r="AA59" s="1233"/>
      <c r="AB59" s="1233"/>
      <c r="AC59" s="1234"/>
      <c r="AD59" s="1233"/>
      <c r="AE59" s="1233"/>
      <c r="AF59" s="1233"/>
      <c r="AG59" s="1233"/>
      <c r="AH59" s="1233"/>
      <c r="AI59" s="1233"/>
      <c r="AJ59" s="1233"/>
      <c r="AK59" s="1233"/>
      <c r="AL59" s="1231"/>
      <c r="AM59" s="1235"/>
      <c r="AN59" s="1236"/>
      <c r="AO59" s="1231"/>
      <c r="AP59" s="1231"/>
      <c r="AQ59" s="1231"/>
      <c r="AR59" s="1237"/>
      <c r="AS59" s="734"/>
      <c r="AT59" s="734"/>
      <c r="AU59" s="734"/>
      <c r="AV59" s="734"/>
      <c r="AW59" s="734"/>
      <c r="AX59" s="734"/>
      <c r="AY59" s="734"/>
      <c r="AZ59" s="734"/>
      <c r="BA59" s="740"/>
    </row>
  </sheetData>
  <sheetProtection algorithmName="SHA-512" hashValue="8C3K+vm36/9j2deL7mDr11BL43ZkWVsNB+paq4MnTk2CqofzDvcbwWy2CLvzmvOTGTbE8aSiP+lZWaptZj2FZA==" saltValue="JgmOSSKot0lifUvPr900HA==" spinCount="100000" sheet="1" objects="1" scenarios="1" selectLockedCells="1"/>
  <mergeCells count="1">
    <mergeCell ref="O9:P9"/>
  </mergeCells>
  <conditionalFormatting sqref="E10:N21 E22:K25 M22:N25 E28:N28">
    <cfRule type="expression" dxfId="35" priority="264">
      <formula xml:space="preserve"> $E10 = $D$1</formula>
    </cfRule>
    <cfRule type="expression" dxfId="34" priority="265">
      <formula>$E10 = $A$4</formula>
    </cfRule>
    <cfRule type="expression" dxfId="33" priority="267">
      <formula>$E10 &gt; $A$4</formula>
    </cfRule>
    <cfRule type="expression" dxfId="32" priority="268">
      <formula>$E10 &gt;=$A$3</formula>
    </cfRule>
  </conditionalFormatting>
  <conditionalFormatting sqref="C10:E25 C28:E28">
    <cfRule type="expression" dxfId="31" priority="266">
      <formula>$E10 = $A$3</formula>
    </cfRule>
  </conditionalFormatting>
  <conditionalFormatting sqref="L23:L25">
    <cfRule type="expression" dxfId="30" priority="145">
      <formula xml:space="preserve"> $E23 = $D$1</formula>
    </cfRule>
    <cfRule type="expression" dxfId="29" priority="146">
      <formula>$E23 = $A$4</formula>
    </cfRule>
    <cfRule type="expression" dxfId="28" priority="147">
      <formula>$E23 &gt; $A$4</formula>
    </cfRule>
    <cfRule type="expression" dxfId="27" priority="148">
      <formula>$E23 &gt;=$A$3</formula>
    </cfRule>
  </conditionalFormatting>
  <conditionalFormatting sqref="L22">
    <cfRule type="expression" dxfId="26" priority="149">
      <formula xml:space="preserve"> $E22 = $D$1</formula>
    </cfRule>
    <cfRule type="expression" dxfId="25" priority="150">
      <formula>$E22 = $A$4</formula>
    </cfRule>
    <cfRule type="expression" dxfId="24" priority="151">
      <formula>$E22 &gt; $A$4</formula>
    </cfRule>
    <cfRule type="expression" dxfId="23" priority="152">
      <formula>$E22 &gt;=$A$3</formula>
    </cfRule>
  </conditionalFormatting>
  <conditionalFormatting sqref="E26:K26 M26:N26">
    <cfRule type="expression" dxfId="22" priority="33">
      <formula xml:space="preserve"> $E26 = $D$1</formula>
    </cfRule>
    <cfRule type="expression" dxfId="21" priority="34">
      <formula>$E26 = $A$4</formula>
    </cfRule>
    <cfRule type="expression" dxfId="20" priority="36">
      <formula>$E26 &gt; $A$4</formula>
    </cfRule>
    <cfRule type="expression" dxfId="19" priority="37">
      <formula>$E26 &gt;=$A$3</formula>
    </cfRule>
  </conditionalFormatting>
  <conditionalFormatting sqref="C26:E26">
    <cfRule type="expression" dxfId="18" priority="35">
      <formula>$E26 = $A$3</formula>
    </cfRule>
  </conditionalFormatting>
  <conditionalFormatting sqref="L26">
    <cfRule type="expression" dxfId="17" priority="29">
      <formula xml:space="preserve"> $E26 = $D$1</formula>
    </cfRule>
    <cfRule type="expression" dxfId="16" priority="30">
      <formula>$E26 = $A$4</formula>
    </cfRule>
    <cfRule type="expression" dxfId="15" priority="31">
      <formula>$E26 &gt; $A$4</formula>
    </cfRule>
    <cfRule type="expression" dxfId="14" priority="32">
      <formula>$E26 &gt;=$A$3</formula>
    </cfRule>
  </conditionalFormatting>
  <conditionalFormatting sqref="E27:N27">
    <cfRule type="expression" dxfId="13" priority="1">
      <formula xml:space="preserve"> $E27 = $D$1</formula>
    </cfRule>
    <cfRule type="expression" dxfId="12" priority="2">
      <formula>$E27 = $A$4</formula>
    </cfRule>
    <cfRule type="expression" dxfId="11" priority="4">
      <formula>$E27 &gt; $A$4</formula>
    </cfRule>
    <cfRule type="expression" dxfId="10" priority="5">
      <formula>$E27 &gt;=$A$3</formula>
    </cfRule>
  </conditionalFormatting>
  <conditionalFormatting sqref="C27:E27">
    <cfRule type="expression" dxfId="9" priority="3">
      <formula>$E27 = $A$3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03" r:id="rId4" name="CommandButton8">
          <controlPr defaultSize="0" autoFill="0" autoLine="0" r:id="rId5">
            <anchor moveWithCells="1">
              <from>
                <xdr:col>11</xdr:col>
                <xdr:colOff>352425</xdr:colOff>
                <xdr:row>30</xdr:row>
                <xdr:rowOff>0</xdr:rowOff>
              </from>
              <to>
                <xdr:col>15</xdr:col>
                <xdr:colOff>180975</xdr:colOff>
                <xdr:row>31</xdr:row>
                <xdr:rowOff>114300</xdr:rowOff>
              </to>
            </anchor>
          </controlPr>
        </control>
      </mc:Choice>
      <mc:Fallback>
        <control shapeId="3103" r:id="rId4" name="CommandButton8"/>
      </mc:Fallback>
    </mc:AlternateContent>
    <mc:AlternateContent xmlns:mc="http://schemas.openxmlformats.org/markup-compatibility/2006">
      <mc:Choice Requires="x14">
        <control shapeId="3101" r:id="rId6" name="CommandButton7">
          <controlPr defaultSize="0" autoFill="0" autoLine="0" r:id="rId7">
            <anchor moveWithCells="1">
              <from>
                <xdr:col>7</xdr:col>
                <xdr:colOff>0</xdr:colOff>
                <xdr:row>30</xdr:row>
                <xdr:rowOff>9525</xdr:rowOff>
              </from>
              <to>
                <xdr:col>10</xdr:col>
                <xdr:colOff>342900</xdr:colOff>
                <xdr:row>31</xdr:row>
                <xdr:rowOff>123825</xdr:rowOff>
              </to>
            </anchor>
          </controlPr>
        </control>
      </mc:Choice>
      <mc:Fallback>
        <control shapeId="3101" r:id="rId6" name="CommandButton7"/>
      </mc:Fallback>
    </mc:AlternateContent>
    <mc:AlternateContent xmlns:mc="http://schemas.openxmlformats.org/markup-compatibility/2006">
      <mc:Choice Requires="x14">
        <control shapeId="3087" r:id="rId8" name="CommandButton5">
          <controlPr defaultSize="0" autoFill="0" autoLine="0" r:id="rId9">
            <anchor moveWithCells="1">
              <from>
                <xdr:col>7</xdr:col>
                <xdr:colOff>571500</xdr:colOff>
                <xdr:row>5</xdr:row>
                <xdr:rowOff>57150</xdr:rowOff>
              </from>
              <to>
                <xdr:col>10</xdr:col>
                <xdr:colOff>85725</xdr:colOff>
                <xdr:row>6</xdr:row>
                <xdr:rowOff>161925</xdr:rowOff>
              </to>
            </anchor>
          </controlPr>
        </control>
      </mc:Choice>
      <mc:Fallback>
        <control shapeId="3087" r:id="rId8" name="CommandButton5"/>
      </mc:Fallback>
    </mc:AlternateContent>
    <mc:AlternateContent xmlns:mc="http://schemas.openxmlformats.org/markup-compatibility/2006">
      <mc:Choice Requires="x14">
        <control shapeId="3092" r:id="rId10" name="CommandButton6">
          <controlPr defaultSize="0" autoFill="0" autoLine="0" r:id="rId11">
            <anchor moveWithCells="1">
              <from>
                <xdr:col>2</xdr:col>
                <xdr:colOff>171450</xdr:colOff>
                <xdr:row>30</xdr:row>
                <xdr:rowOff>38100</xdr:rowOff>
              </from>
              <to>
                <xdr:col>5</xdr:col>
                <xdr:colOff>466725</xdr:colOff>
                <xdr:row>31</xdr:row>
                <xdr:rowOff>152400</xdr:rowOff>
              </to>
            </anchor>
          </controlPr>
        </control>
      </mc:Choice>
      <mc:Fallback>
        <control shapeId="3092" r:id="rId10" name="CommandButton6"/>
      </mc:Fallback>
    </mc:AlternateContent>
    <mc:AlternateContent xmlns:mc="http://schemas.openxmlformats.org/markup-compatibility/2006">
      <mc:Choice Requires="x14">
        <control shapeId="3098" r:id="rId12" name="ComboBox1">
          <controlPr defaultSize="0" autoFill="0" autoLine="0" autoPict="0" linkedCell="$AN$1" listFillRange="$AM$4:$AM$14" r:id="rId13">
            <anchor moveWithCells="1">
              <from>
                <xdr:col>5</xdr:col>
                <xdr:colOff>504825</xdr:colOff>
                <xdr:row>30</xdr:row>
                <xdr:rowOff>38100</xdr:rowOff>
              </from>
              <to>
                <xdr:col>6</xdr:col>
                <xdr:colOff>133350</xdr:colOff>
                <xdr:row>31</xdr:row>
                <xdr:rowOff>104775</xdr:rowOff>
              </to>
            </anchor>
          </controlPr>
        </control>
      </mc:Choice>
      <mc:Fallback>
        <control shapeId="3098" r:id="rId12" name="ComboBox1"/>
      </mc:Fallback>
    </mc:AlternateContent>
    <mc:AlternateContent xmlns:mc="http://schemas.openxmlformats.org/markup-compatibility/2006">
      <mc:Choice Requires="x14">
        <control shapeId="3091" r:id="rId14" name="Group Box 19">
          <controlPr defaultSize="0" autoFill="0" autoPict="0">
            <anchor moveWithCells="1">
              <from>
                <xdr:col>2</xdr:col>
                <xdr:colOff>9525</xdr:colOff>
                <xdr:row>29</xdr:row>
                <xdr:rowOff>76200</xdr:rowOff>
              </from>
              <to>
                <xdr:col>15</xdr:col>
                <xdr:colOff>685800</xdr:colOff>
                <xdr:row>33</xdr:row>
                <xdr:rowOff>47625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51"/>
  <dimension ref="A1:KV95"/>
  <sheetViews>
    <sheetView showGridLines="0" showRowColHeaders="0" topLeftCell="A4" workbookViewId="0"/>
  </sheetViews>
  <sheetFormatPr defaultRowHeight="15" x14ac:dyDescent="0.25"/>
  <cols>
    <col min="1" max="1" width="25.140625" style="4" customWidth="1"/>
    <col min="2" max="2" width="10.42578125" style="4" customWidth="1"/>
    <col min="3" max="25" width="10.85546875" style="3" customWidth="1"/>
    <col min="26" max="77" width="10.85546875" style="71" customWidth="1"/>
  </cols>
  <sheetData>
    <row r="1" spans="1:244" s="61" customFormat="1" x14ac:dyDescent="0.25">
      <c r="A1" s="4"/>
      <c r="B1" s="4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</row>
    <row r="2" spans="1:244" s="61" customFormat="1" x14ac:dyDescent="0.25">
      <c r="A2" s="218"/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19"/>
      <c r="BI2" s="219"/>
      <c r="BJ2" s="219"/>
      <c r="BK2" s="219"/>
      <c r="BL2" s="219"/>
      <c r="BM2" s="219"/>
      <c r="BN2" s="219"/>
      <c r="BO2" s="219"/>
      <c r="BP2" s="219"/>
      <c r="BQ2" s="219"/>
      <c r="BR2" s="219"/>
      <c r="BS2" s="219"/>
      <c r="BT2" s="219"/>
      <c r="BU2" s="219"/>
      <c r="BV2" s="219"/>
      <c r="BW2" s="219"/>
      <c r="BX2" s="219"/>
      <c r="BY2" s="219"/>
    </row>
    <row r="3" spans="1:244" s="61" customFormat="1" x14ac:dyDescent="0.25">
      <c r="A3" s="218"/>
      <c r="B3" s="218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19"/>
      <c r="AT3" s="219"/>
      <c r="AU3" s="219"/>
      <c r="AV3" s="219"/>
      <c r="AW3" s="219"/>
      <c r="AX3" s="219"/>
      <c r="AY3" s="219"/>
      <c r="AZ3" s="219"/>
      <c r="BA3" s="219"/>
      <c r="BB3" s="219"/>
      <c r="BC3" s="219"/>
      <c r="BD3" s="219"/>
      <c r="BE3" s="219"/>
      <c r="BF3" s="219"/>
      <c r="BG3" s="219"/>
      <c r="BH3" s="219"/>
      <c r="BI3" s="219"/>
      <c r="BJ3" s="219"/>
      <c r="BK3" s="219"/>
      <c r="BL3" s="219"/>
      <c r="BM3" s="219"/>
      <c r="BN3" s="219"/>
      <c r="BO3" s="219"/>
      <c r="BP3" s="219"/>
      <c r="BQ3" s="219"/>
      <c r="BR3" s="219"/>
      <c r="BS3" s="219"/>
      <c r="BT3" s="219"/>
      <c r="BU3" s="219"/>
      <c r="BV3" s="219"/>
      <c r="BW3" s="219"/>
      <c r="BX3" s="219"/>
      <c r="BY3" s="219"/>
    </row>
    <row r="4" spans="1:244" s="61" customFormat="1" x14ac:dyDescent="0.25">
      <c r="A4" s="218"/>
      <c r="B4" s="218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219"/>
      <c r="BD4" s="219"/>
      <c r="BE4" s="219"/>
      <c r="BF4" s="219"/>
      <c r="BG4" s="219"/>
      <c r="BH4" s="219"/>
      <c r="BI4" s="219"/>
      <c r="BJ4" s="219"/>
      <c r="BK4" s="219"/>
      <c r="BL4" s="219"/>
      <c r="BM4" s="219"/>
      <c r="BN4" s="219"/>
      <c r="BO4" s="219"/>
      <c r="BP4" s="219"/>
      <c r="BQ4" s="219"/>
      <c r="BR4" s="219"/>
      <c r="BS4" s="219"/>
      <c r="BT4" s="219"/>
      <c r="BU4" s="219"/>
      <c r="BV4" s="219"/>
      <c r="BW4" s="219"/>
      <c r="BX4" s="219"/>
      <c r="BY4" s="219"/>
    </row>
    <row r="5" spans="1:244" s="61" customFormat="1" x14ac:dyDescent="0.25">
      <c r="A5" s="218"/>
      <c r="B5" s="218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19"/>
      <c r="AT5" s="219"/>
      <c r="AU5" s="219"/>
      <c r="AV5" s="219"/>
      <c r="AW5" s="219"/>
      <c r="AX5" s="219"/>
      <c r="AY5" s="219"/>
      <c r="AZ5" s="219"/>
      <c r="BA5" s="219"/>
      <c r="BB5" s="219"/>
      <c r="BC5" s="219"/>
      <c r="BD5" s="219"/>
      <c r="BE5" s="219"/>
      <c r="BF5" s="219"/>
      <c r="BG5" s="219"/>
      <c r="BH5" s="219"/>
      <c r="BI5" s="219"/>
      <c r="BJ5" s="219"/>
      <c r="BK5" s="219"/>
      <c r="BL5" s="219"/>
      <c r="BM5" s="219"/>
      <c r="BN5" s="219"/>
      <c r="BO5" s="219"/>
      <c r="BP5" s="219"/>
      <c r="BQ5" s="219"/>
      <c r="BR5" s="219"/>
      <c r="BS5" s="219"/>
      <c r="BT5" s="219"/>
      <c r="BU5" s="219"/>
      <c r="BV5" s="219"/>
      <c r="BW5" s="219"/>
      <c r="BX5" s="219"/>
      <c r="BY5" s="219"/>
    </row>
    <row r="6" spans="1:244" s="61" customFormat="1" ht="15.75" thickBot="1" x14ac:dyDescent="0.3">
      <c r="A6" s="218"/>
      <c r="B6" s="218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19"/>
      <c r="AI6" s="219"/>
      <c r="AJ6" s="219"/>
      <c r="AK6" s="219"/>
      <c r="AL6" s="219"/>
      <c r="AM6" s="219"/>
      <c r="AN6" s="219"/>
      <c r="AO6" s="219"/>
      <c r="AP6" s="219"/>
      <c r="AQ6" s="219"/>
      <c r="AR6" s="219"/>
      <c r="AS6" s="219"/>
      <c r="AT6" s="219"/>
      <c r="AU6" s="219"/>
      <c r="AV6" s="219"/>
      <c r="AW6" s="219"/>
      <c r="AX6" s="219"/>
      <c r="AY6" s="219"/>
      <c r="AZ6" s="219"/>
      <c r="BA6" s="219"/>
      <c r="BB6" s="219"/>
      <c r="BC6" s="219"/>
      <c r="BD6" s="219"/>
      <c r="BE6" s="219"/>
      <c r="BF6" s="219"/>
      <c r="BG6" s="219"/>
      <c r="BH6" s="219"/>
      <c r="BI6" s="219"/>
      <c r="BJ6" s="219"/>
      <c r="BK6" s="219"/>
      <c r="BL6" s="219"/>
      <c r="BM6" s="219"/>
      <c r="BN6" s="219"/>
      <c r="BO6" s="219"/>
      <c r="BP6" s="219"/>
      <c r="BQ6" s="219"/>
      <c r="BR6" s="219"/>
      <c r="BS6" s="219"/>
      <c r="BT6" s="219"/>
      <c r="BU6" s="219"/>
      <c r="BV6" s="219"/>
      <c r="BW6" s="219"/>
      <c r="BX6" s="219"/>
      <c r="BY6" s="219"/>
    </row>
    <row r="7" spans="1:244" s="40" customFormat="1" ht="12.75" thickTop="1" x14ac:dyDescent="0.2">
      <c r="A7" s="38" t="s">
        <v>41</v>
      </c>
      <c r="B7" s="66">
        <v>0</v>
      </c>
      <c r="C7" s="636">
        <v>1</v>
      </c>
      <c r="D7" s="636">
        <f>MATCH(D9,__ИндОДД,0)-ROW(СпрИнд!$E9)</f>
        <v>9</v>
      </c>
      <c r="E7" s="636">
        <f>MATCH(E9,__ИндОДД,0)-ROW(СпрИнд!$E9)</f>
        <v>10</v>
      </c>
      <c r="F7" s="636">
        <f>MATCH(F9,__ИндОДД,0)-ROW(СпрИнд!$E9)</f>
        <v>11</v>
      </c>
      <c r="G7" s="636">
        <f>MATCH(G9,__ИндОДД,0)-ROW(СпрИнд!$E9)</f>
        <v>12</v>
      </c>
      <c r="H7" s="636">
        <f>MATCH(H9,__ИндОДД,0)-ROW(СпрИнд!$E9)</f>
        <v>14</v>
      </c>
      <c r="I7" s="636">
        <f>MATCH(I9,__ИндОДД,0)-ROW(СпрИнд!$E9)</f>
        <v>15</v>
      </c>
      <c r="J7" s="39">
        <f>MATCH(J9,__ИндОДД,0)-ROW(СпрИнд!$E9)</f>
        <v>17</v>
      </c>
      <c r="K7" s="39" t="e">
        <f>MATCH(K9,__ИндОДД,0)-ROW(СпрИнд!$E9)</f>
        <v>#N/A</v>
      </c>
      <c r="L7" s="39" t="e">
        <f>MATCH(L9,__ИндОДД,0)-ROW(СпрИнд!$E9)</f>
        <v>#N/A</v>
      </c>
      <c r="M7" s="39" t="e">
        <f>MATCH(M9,__ИндОДД,0)-ROW(СпрИнд!$E9)</f>
        <v>#N/A</v>
      </c>
      <c r="N7" s="39" t="e">
        <f>MATCH(N9,__ИндОДД,0)-ROW(СпрИнд!$E9)</f>
        <v>#N/A</v>
      </c>
      <c r="O7" s="39" t="e">
        <f>MATCH(O9,__ИндОДД,0)-ROW(СпрИнд!$E9)</f>
        <v>#N/A</v>
      </c>
      <c r="P7" s="39" t="e">
        <f>MATCH(P9,__ИндОДД,0)-ROW(СпрИнд!$E9)</f>
        <v>#N/A</v>
      </c>
      <c r="Q7" s="39" t="e">
        <f>MATCH(Q9,__ИндОДД,0)-ROW(СпрИнд!$E9)</f>
        <v>#N/A</v>
      </c>
      <c r="R7" s="39" t="e">
        <f>MATCH(R9,__ИндОДД,0)-ROW(СпрИнд!$E9)</f>
        <v>#N/A</v>
      </c>
      <c r="S7" s="39" t="e">
        <f>MATCH(S9,__ИндОДД,0)-ROW(СпрИнд!$E9)</f>
        <v>#N/A</v>
      </c>
      <c r="T7" s="39" t="e">
        <f>MATCH(T9,__ИндОДД,0)-ROW(СпрИнд!$E9)</f>
        <v>#N/A</v>
      </c>
      <c r="U7" s="39" t="e">
        <f>MATCH(U9,__ИндОДД,0)-ROW(СпрИнд!$E9)</f>
        <v>#N/A</v>
      </c>
      <c r="V7" s="39" t="e">
        <f>MATCH(V9,__ИндОДД,0)-ROW(СпрИнд!$E9)</f>
        <v>#N/A</v>
      </c>
      <c r="W7" s="39" t="e">
        <f>MATCH(W9,__ИндОДД,0)-ROW(СпрИнд!$E9)</f>
        <v>#N/A</v>
      </c>
      <c r="X7" s="39" t="e">
        <f>MATCH(X9,__ИндОДД,0)-ROW(СпрИнд!$E9)</f>
        <v>#N/A</v>
      </c>
      <c r="Y7" s="39" t="e">
        <f>MATCH(Y9,__ИндОДД,0)-ROW(СпрИнд!$E9)</f>
        <v>#N/A</v>
      </c>
      <c r="Z7" s="39" t="e">
        <f>MATCH(Z9,__ИндОДД,0)-ROW(СпрИнд!$E9)</f>
        <v>#N/A</v>
      </c>
      <c r="AA7" s="39" t="e">
        <f>MATCH(AA9,__ИндОДД,0)-ROW(СпрИнд!$E9)</f>
        <v>#N/A</v>
      </c>
      <c r="AB7" s="39" t="e">
        <f>MATCH(AB9,__ИндОДД,0)-ROW(СпрИнд!$E9)</f>
        <v>#N/A</v>
      </c>
      <c r="AC7" s="39" t="e">
        <f>MATCH(AC9,__ИндОДД,0)-ROW(СпрИнд!$E9)</f>
        <v>#N/A</v>
      </c>
      <c r="AD7" s="39" t="e">
        <f>MATCH(AD9,__ИндОДД,0)-ROW(СпрИнд!$E9)</f>
        <v>#N/A</v>
      </c>
      <c r="AE7" s="39" t="e">
        <f>MATCH(AE9,__ИндОДД,0)-ROW(СпрИнд!$E9)</f>
        <v>#N/A</v>
      </c>
      <c r="AF7" s="39" t="e">
        <f>MATCH(AF9,__ИндОДД,0)-ROW(СпрИнд!$E9)</f>
        <v>#N/A</v>
      </c>
      <c r="AG7" s="39" t="e">
        <f>MATCH(AG9,__ИндОДД,0)-ROW(СпрИнд!$E9)</f>
        <v>#N/A</v>
      </c>
      <c r="AH7" s="39" t="e">
        <f>MATCH(AH9,__ИндОДД,0)-ROW(СпрИнд!$E9)</f>
        <v>#N/A</v>
      </c>
      <c r="AI7" s="39" t="e">
        <f>MATCH(AI9,__ИндОДД,0)-ROW(СпрИнд!$E9)</f>
        <v>#N/A</v>
      </c>
      <c r="AJ7" s="39" t="e">
        <f>MATCH(AJ9,__ИндОДД,0)-ROW(СпрИнд!$E9)</f>
        <v>#N/A</v>
      </c>
      <c r="AK7" s="39" t="e">
        <f>MATCH(AK9,__ИндОДД,0)-ROW(СпрИнд!$E9)</f>
        <v>#N/A</v>
      </c>
      <c r="AL7" s="39" t="e">
        <f>MATCH(AL9,__ИндОДД,0)-ROW(СпрИнд!$E9)</f>
        <v>#N/A</v>
      </c>
      <c r="AM7" s="39" t="e">
        <f>MATCH(AM9,__ИндОДД,0)-ROW(СпрИнд!$E9)</f>
        <v>#N/A</v>
      </c>
      <c r="AN7" s="39" t="e">
        <f>MATCH(AN9,__ИндОДД,0)-ROW(СпрИнд!$E9)</f>
        <v>#N/A</v>
      </c>
      <c r="AO7" s="39" t="e">
        <f>MATCH(AO9,__ИндОДД,0)-ROW(СпрИнд!$E9)</f>
        <v>#N/A</v>
      </c>
      <c r="AP7" s="39" t="e">
        <f>MATCH(AP9,__ИндОДД,0)-ROW(СпрИнд!$E9)</f>
        <v>#N/A</v>
      </c>
      <c r="AQ7" s="39" t="e">
        <f>MATCH(AQ9,__ИндОДД,0)-ROW(СпрИнд!$E9)</f>
        <v>#N/A</v>
      </c>
      <c r="AR7" s="39" t="e">
        <f>MATCH(AR9,__ИндОДД,0)-ROW(СпрИнд!$E9)</f>
        <v>#N/A</v>
      </c>
      <c r="AS7" s="39" t="e">
        <f>MATCH(AS9,__ИндОДД,0)-ROW(СпрИнд!$E9)</f>
        <v>#N/A</v>
      </c>
      <c r="AT7" s="39" t="e">
        <f>MATCH(AT9,__ИндОДД,0)-ROW(СпрИнд!$E9)</f>
        <v>#N/A</v>
      </c>
      <c r="AU7" s="39" t="e">
        <f>MATCH(AU9,__ИндОДД,0)-ROW(СпрИнд!$E9)</f>
        <v>#N/A</v>
      </c>
      <c r="AV7" s="39" t="e">
        <f>MATCH(AV9,__ИндОДД,0)-ROW(СпрИнд!$E9)</f>
        <v>#N/A</v>
      </c>
      <c r="AW7" s="39" t="e">
        <f>MATCH(AW9,__ИндОДД,0)-ROW(СпрИнд!$E9)</f>
        <v>#N/A</v>
      </c>
      <c r="AX7" s="39" t="e">
        <f>MATCH(AX9,__ИндОДД,0)-ROW(СпрИнд!$E9)</f>
        <v>#N/A</v>
      </c>
      <c r="AY7" s="39" t="e">
        <f>MATCH(AY9,__ИндОДД,0)-ROW(СпрИнд!$E9)</f>
        <v>#N/A</v>
      </c>
      <c r="AZ7" s="39" t="e">
        <f>MATCH(AZ9,__ИндОДД,0)-ROW(СпрИнд!$E9)</f>
        <v>#N/A</v>
      </c>
      <c r="BA7" s="39" t="e">
        <f>MATCH(BA9,__ИндОДД,0)-ROW(СпрИнд!$E9)</f>
        <v>#N/A</v>
      </c>
      <c r="BB7" s="39" t="e">
        <f>MATCH(BB9,__ИндОДД,0)-ROW(СпрИнд!$E9)</f>
        <v>#N/A</v>
      </c>
      <c r="BC7" s="39" t="e">
        <f>MATCH(BC9,__ИндОДД,0)-ROW(СпрИнд!$E9)</f>
        <v>#N/A</v>
      </c>
      <c r="BD7" s="39" t="e">
        <f>MATCH(BD9,__ИндОДД,0)-ROW(СпрИнд!$E9)</f>
        <v>#N/A</v>
      </c>
      <c r="BE7" s="39" t="e">
        <f>MATCH(BE9,__ИндОДД,0)-ROW(СпрИнд!$E9)</f>
        <v>#N/A</v>
      </c>
      <c r="BF7" s="39" t="e">
        <f>MATCH(BF9,__ИндОДД,0)-ROW(СпрИнд!$E9)</f>
        <v>#N/A</v>
      </c>
      <c r="BG7" s="39" t="e">
        <f>MATCH(BG9,__ИндОДД,0)-ROW(СпрИнд!$E9)</f>
        <v>#N/A</v>
      </c>
      <c r="BH7" s="39" t="e">
        <f>MATCH(BH9,__ИндОДД,0)-ROW(СпрИнд!$E9)</f>
        <v>#N/A</v>
      </c>
      <c r="BI7" s="39" t="e">
        <f>MATCH(BI9,__ИндОДД,0)-ROW(СпрИнд!$E9)</f>
        <v>#N/A</v>
      </c>
      <c r="BJ7" s="39" t="e">
        <f>MATCH(BJ9,__ИндОДД,0)-ROW(СпрИнд!$E9)</f>
        <v>#N/A</v>
      </c>
      <c r="BK7" s="39" t="e">
        <f>MATCH(BK9,__ИндОДД,0)-ROW(СпрИнд!$E9)</f>
        <v>#N/A</v>
      </c>
      <c r="BL7" s="39" t="e">
        <f>MATCH(BL9,__ИндОДД,0)-ROW(СпрИнд!$E9)</f>
        <v>#N/A</v>
      </c>
      <c r="BM7" s="39" t="e">
        <f>MATCH(BM9,__ИндОДД,0)-ROW(СпрИнд!$E9)</f>
        <v>#N/A</v>
      </c>
      <c r="BN7" s="39" t="e">
        <f>MATCH(BN9,__ИндОДД,0)-ROW(СпрИнд!$E9)</f>
        <v>#N/A</v>
      </c>
      <c r="BO7" s="39" t="e">
        <f>MATCH(BO9,__ИндОДД,0)-ROW(СпрИнд!$E9)</f>
        <v>#N/A</v>
      </c>
      <c r="BP7" s="39" t="e">
        <f>MATCH(BP9,__ИндОДД,0)-ROW(СпрИнд!$E9)</f>
        <v>#N/A</v>
      </c>
      <c r="BQ7" s="39" t="e">
        <f>MATCH(BQ9,__ИндОДД,0)-ROW(СпрИнд!$E9)</f>
        <v>#N/A</v>
      </c>
      <c r="BR7" s="39" t="e">
        <f>MATCH(BR9,__ИндОДД,0)-ROW(СпрИнд!$E9)</f>
        <v>#N/A</v>
      </c>
      <c r="BS7" s="39" t="e">
        <f>MATCH(BS9,__ИндОДД,0)-ROW(СпрИнд!$E9)</f>
        <v>#N/A</v>
      </c>
      <c r="BT7" s="39" t="e">
        <f>MATCH(BT9,__ИндОДД,0)-ROW(СпрИнд!$E9)</f>
        <v>#N/A</v>
      </c>
      <c r="BU7" s="39" t="e">
        <f>MATCH(BU9,__ИндОДД,0)-ROW(СпрИнд!$E9)</f>
        <v>#N/A</v>
      </c>
      <c r="BV7" s="39" t="e">
        <f>MATCH(BV9,__ИндОДД,0)-ROW(СпрИнд!$E9)</f>
        <v>#N/A</v>
      </c>
      <c r="BW7" s="39" t="e">
        <f>MATCH(BW9,__ИндОДД,0)-ROW(СпрИнд!$E9)</f>
        <v>#N/A</v>
      </c>
      <c r="BX7" s="39" t="e">
        <f>MATCH(BX9,__ИндОДД,0)-ROW(СпрИнд!$E9)</f>
        <v>#N/A</v>
      </c>
      <c r="BY7" s="39" t="e">
        <f>MATCH(BY9,__ИндОДД,0)-ROW(СпрИнд!$E9)</f>
        <v>#N/A</v>
      </c>
    </row>
    <row r="8" spans="1:244" s="43" customFormat="1" ht="12" x14ac:dyDescent="0.2">
      <c r="A8" s="41" t="s">
        <v>42</v>
      </c>
      <c r="B8" s="634" t="s">
        <v>26</v>
      </c>
      <c r="C8" s="637" t="s">
        <v>26</v>
      </c>
      <c r="D8" s="637" t="str">
        <f t="shared" ref="D8:Y8" ca="1" si="0">VLOOKUP(D7,__Периоды,6,0)</f>
        <v>Архив</v>
      </c>
      <c r="E8" s="637" t="str">
        <f t="shared" ca="1" si="0"/>
        <v>Архив</v>
      </c>
      <c r="F8" s="637" t="str">
        <f t="shared" ca="1" si="0"/>
        <v>Архив</v>
      </c>
      <c r="G8" s="637" t="str">
        <f t="shared" ca="1" si="0"/>
        <v>Архив</v>
      </c>
      <c r="H8" s="637" t="str">
        <f t="shared" ca="1" si="0"/>
        <v>Прогноз</v>
      </c>
      <c r="I8" s="637" t="str">
        <f t="shared" ca="1" si="0"/>
        <v>Прогноз</v>
      </c>
      <c r="J8" s="42" t="str">
        <f t="shared" ca="1" si="0"/>
        <v>Прогноз</v>
      </c>
      <c r="K8" s="42" t="e">
        <f t="shared" si="0"/>
        <v>#N/A</v>
      </c>
      <c r="L8" s="42" t="e">
        <f t="shared" si="0"/>
        <v>#N/A</v>
      </c>
      <c r="M8" s="42" t="e">
        <f t="shared" si="0"/>
        <v>#N/A</v>
      </c>
      <c r="N8" s="42" t="e">
        <f t="shared" si="0"/>
        <v>#N/A</v>
      </c>
      <c r="O8" s="42" t="e">
        <f t="shared" si="0"/>
        <v>#N/A</v>
      </c>
      <c r="P8" s="42" t="e">
        <f t="shared" si="0"/>
        <v>#N/A</v>
      </c>
      <c r="Q8" s="42" t="e">
        <f t="shared" si="0"/>
        <v>#N/A</v>
      </c>
      <c r="R8" s="42" t="e">
        <f t="shared" si="0"/>
        <v>#N/A</v>
      </c>
      <c r="S8" s="42" t="e">
        <f t="shared" si="0"/>
        <v>#N/A</v>
      </c>
      <c r="T8" s="42" t="e">
        <f t="shared" si="0"/>
        <v>#N/A</v>
      </c>
      <c r="U8" s="42" t="e">
        <f t="shared" si="0"/>
        <v>#N/A</v>
      </c>
      <c r="V8" s="42" t="e">
        <f t="shared" si="0"/>
        <v>#N/A</v>
      </c>
      <c r="W8" s="42" t="e">
        <f t="shared" si="0"/>
        <v>#N/A</v>
      </c>
      <c r="X8" s="42" t="e">
        <f t="shared" si="0"/>
        <v>#N/A</v>
      </c>
      <c r="Y8" s="42" t="e">
        <f t="shared" si="0"/>
        <v>#N/A</v>
      </c>
      <c r="Z8" s="42" t="e">
        <f t="shared" ref="Z8:BY8" si="1">VLOOKUP(Z7,__Периоды,6,0)</f>
        <v>#N/A</v>
      </c>
      <c r="AA8" s="42" t="e">
        <f t="shared" si="1"/>
        <v>#N/A</v>
      </c>
      <c r="AB8" s="42" t="e">
        <f t="shared" si="1"/>
        <v>#N/A</v>
      </c>
      <c r="AC8" s="42" t="e">
        <f t="shared" si="1"/>
        <v>#N/A</v>
      </c>
      <c r="AD8" s="42" t="e">
        <f t="shared" si="1"/>
        <v>#N/A</v>
      </c>
      <c r="AE8" s="42" t="e">
        <f t="shared" si="1"/>
        <v>#N/A</v>
      </c>
      <c r="AF8" s="42" t="e">
        <f t="shared" si="1"/>
        <v>#N/A</v>
      </c>
      <c r="AG8" s="42" t="e">
        <f t="shared" si="1"/>
        <v>#N/A</v>
      </c>
      <c r="AH8" s="42" t="e">
        <f t="shared" si="1"/>
        <v>#N/A</v>
      </c>
      <c r="AI8" s="42" t="e">
        <f t="shared" si="1"/>
        <v>#N/A</v>
      </c>
      <c r="AJ8" s="42" t="e">
        <f t="shared" si="1"/>
        <v>#N/A</v>
      </c>
      <c r="AK8" s="42" t="e">
        <f t="shared" si="1"/>
        <v>#N/A</v>
      </c>
      <c r="AL8" s="42" t="e">
        <f t="shared" si="1"/>
        <v>#N/A</v>
      </c>
      <c r="AM8" s="42" t="e">
        <f t="shared" si="1"/>
        <v>#N/A</v>
      </c>
      <c r="AN8" s="42" t="e">
        <f t="shared" si="1"/>
        <v>#N/A</v>
      </c>
      <c r="AO8" s="42" t="e">
        <f t="shared" si="1"/>
        <v>#N/A</v>
      </c>
      <c r="AP8" s="42" t="e">
        <f t="shared" si="1"/>
        <v>#N/A</v>
      </c>
      <c r="AQ8" s="42" t="e">
        <f t="shared" si="1"/>
        <v>#N/A</v>
      </c>
      <c r="AR8" s="42" t="e">
        <f t="shared" si="1"/>
        <v>#N/A</v>
      </c>
      <c r="AS8" s="42" t="e">
        <f t="shared" si="1"/>
        <v>#N/A</v>
      </c>
      <c r="AT8" s="42" t="e">
        <f t="shared" si="1"/>
        <v>#N/A</v>
      </c>
      <c r="AU8" s="42" t="e">
        <f t="shared" si="1"/>
        <v>#N/A</v>
      </c>
      <c r="AV8" s="42" t="e">
        <f t="shared" si="1"/>
        <v>#N/A</v>
      </c>
      <c r="AW8" s="42" t="e">
        <f t="shared" si="1"/>
        <v>#N/A</v>
      </c>
      <c r="AX8" s="42" t="e">
        <f t="shared" si="1"/>
        <v>#N/A</v>
      </c>
      <c r="AY8" s="42" t="e">
        <f t="shared" si="1"/>
        <v>#N/A</v>
      </c>
      <c r="AZ8" s="42" t="e">
        <f t="shared" si="1"/>
        <v>#N/A</v>
      </c>
      <c r="BA8" s="42" t="e">
        <f t="shared" si="1"/>
        <v>#N/A</v>
      </c>
      <c r="BB8" s="42" t="e">
        <f t="shared" si="1"/>
        <v>#N/A</v>
      </c>
      <c r="BC8" s="42" t="e">
        <f t="shared" si="1"/>
        <v>#N/A</v>
      </c>
      <c r="BD8" s="42" t="e">
        <f t="shared" si="1"/>
        <v>#N/A</v>
      </c>
      <c r="BE8" s="42" t="e">
        <f t="shared" si="1"/>
        <v>#N/A</v>
      </c>
      <c r="BF8" s="42" t="e">
        <f t="shared" si="1"/>
        <v>#N/A</v>
      </c>
      <c r="BG8" s="42" t="e">
        <f t="shared" si="1"/>
        <v>#N/A</v>
      </c>
      <c r="BH8" s="42" t="e">
        <f t="shared" si="1"/>
        <v>#N/A</v>
      </c>
      <c r="BI8" s="42" t="e">
        <f t="shared" si="1"/>
        <v>#N/A</v>
      </c>
      <c r="BJ8" s="42" t="e">
        <f t="shared" si="1"/>
        <v>#N/A</v>
      </c>
      <c r="BK8" s="42" t="e">
        <f t="shared" si="1"/>
        <v>#N/A</v>
      </c>
      <c r="BL8" s="42" t="e">
        <f t="shared" si="1"/>
        <v>#N/A</v>
      </c>
      <c r="BM8" s="42" t="e">
        <f t="shared" si="1"/>
        <v>#N/A</v>
      </c>
      <c r="BN8" s="42" t="e">
        <f t="shared" si="1"/>
        <v>#N/A</v>
      </c>
      <c r="BO8" s="42" t="e">
        <f t="shared" si="1"/>
        <v>#N/A</v>
      </c>
      <c r="BP8" s="42" t="e">
        <f t="shared" si="1"/>
        <v>#N/A</v>
      </c>
      <c r="BQ8" s="42" t="e">
        <f t="shared" si="1"/>
        <v>#N/A</v>
      </c>
      <c r="BR8" s="42" t="e">
        <f t="shared" si="1"/>
        <v>#N/A</v>
      </c>
      <c r="BS8" s="42" t="e">
        <f t="shared" si="1"/>
        <v>#N/A</v>
      </c>
      <c r="BT8" s="42" t="e">
        <f t="shared" si="1"/>
        <v>#N/A</v>
      </c>
      <c r="BU8" s="42" t="e">
        <f t="shared" si="1"/>
        <v>#N/A</v>
      </c>
      <c r="BV8" s="42" t="e">
        <f t="shared" si="1"/>
        <v>#N/A</v>
      </c>
      <c r="BW8" s="42" t="e">
        <f t="shared" si="1"/>
        <v>#N/A</v>
      </c>
      <c r="BX8" s="42" t="e">
        <f t="shared" si="1"/>
        <v>#N/A</v>
      </c>
      <c r="BY8" s="42" t="e">
        <f t="shared" si="1"/>
        <v>#N/A</v>
      </c>
    </row>
    <row r="9" spans="1:244" s="43" customFormat="1" ht="12" x14ac:dyDescent="0.2">
      <c r="A9" s="41" t="s">
        <v>72</v>
      </c>
      <c r="B9" s="64">
        <v>0</v>
      </c>
      <c r="C9" s="637">
        <v>1</v>
      </c>
      <c r="D9" s="637">
        <f>C$9+1</f>
        <v>2</v>
      </c>
      <c r="E9" s="637">
        <f t="shared" ref="E9:Y9" si="2">D$9+1</f>
        <v>3</v>
      </c>
      <c r="F9" s="637">
        <f t="shared" si="2"/>
        <v>4</v>
      </c>
      <c r="G9" s="637">
        <f t="shared" si="2"/>
        <v>5</v>
      </c>
      <c r="H9" s="637">
        <f t="shared" si="2"/>
        <v>6</v>
      </c>
      <c r="I9" s="637">
        <f t="shared" si="2"/>
        <v>7</v>
      </c>
      <c r="J9" s="42">
        <f t="shared" si="2"/>
        <v>8</v>
      </c>
      <c r="K9" s="42">
        <f t="shared" si="2"/>
        <v>9</v>
      </c>
      <c r="L9" s="42">
        <f t="shared" si="2"/>
        <v>10</v>
      </c>
      <c r="M9" s="42">
        <f t="shared" si="2"/>
        <v>11</v>
      </c>
      <c r="N9" s="42">
        <f t="shared" si="2"/>
        <v>12</v>
      </c>
      <c r="O9" s="42">
        <f t="shared" si="2"/>
        <v>13</v>
      </c>
      <c r="P9" s="42">
        <f t="shared" si="2"/>
        <v>14</v>
      </c>
      <c r="Q9" s="42">
        <f t="shared" si="2"/>
        <v>15</v>
      </c>
      <c r="R9" s="42">
        <f t="shared" si="2"/>
        <v>16</v>
      </c>
      <c r="S9" s="42">
        <f t="shared" si="2"/>
        <v>17</v>
      </c>
      <c r="T9" s="42">
        <f t="shared" si="2"/>
        <v>18</v>
      </c>
      <c r="U9" s="42">
        <f t="shared" si="2"/>
        <v>19</v>
      </c>
      <c r="V9" s="42">
        <f t="shared" si="2"/>
        <v>20</v>
      </c>
      <c r="W9" s="42">
        <f t="shared" si="2"/>
        <v>21</v>
      </c>
      <c r="X9" s="42">
        <f t="shared" si="2"/>
        <v>22</v>
      </c>
      <c r="Y9" s="42">
        <f t="shared" si="2"/>
        <v>23</v>
      </c>
      <c r="Z9" s="42">
        <f t="shared" ref="Z9:BE9" si="3">Y$9+1</f>
        <v>24</v>
      </c>
      <c r="AA9" s="42">
        <f t="shared" si="3"/>
        <v>25</v>
      </c>
      <c r="AB9" s="42">
        <f t="shared" si="3"/>
        <v>26</v>
      </c>
      <c r="AC9" s="42">
        <f t="shared" si="3"/>
        <v>27</v>
      </c>
      <c r="AD9" s="42">
        <f t="shared" si="3"/>
        <v>28</v>
      </c>
      <c r="AE9" s="42">
        <f t="shared" si="3"/>
        <v>29</v>
      </c>
      <c r="AF9" s="42">
        <f t="shared" si="3"/>
        <v>30</v>
      </c>
      <c r="AG9" s="42">
        <f t="shared" si="3"/>
        <v>31</v>
      </c>
      <c r="AH9" s="42">
        <f t="shared" si="3"/>
        <v>32</v>
      </c>
      <c r="AI9" s="42">
        <f t="shared" si="3"/>
        <v>33</v>
      </c>
      <c r="AJ9" s="42">
        <f t="shared" si="3"/>
        <v>34</v>
      </c>
      <c r="AK9" s="42">
        <f t="shared" si="3"/>
        <v>35</v>
      </c>
      <c r="AL9" s="42">
        <f t="shared" si="3"/>
        <v>36</v>
      </c>
      <c r="AM9" s="42">
        <f t="shared" si="3"/>
        <v>37</v>
      </c>
      <c r="AN9" s="42">
        <f t="shared" si="3"/>
        <v>38</v>
      </c>
      <c r="AO9" s="42">
        <f t="shared" si="3"/>
        <v>39</v>
      </c>
      <c r="AP9" s="42">
        <f t="shared" si="3"/>
        <v>40</v>
      </c>
      <c r="AQ9" s="42">
        <f t="shared" si="3"/>
        <v>41</v>
      </c>
      <c r="AR9" s="42">
        <f t="shared" si="3"/>
        <v>42</v>
      </c>
      <c r="AS9" s="42">
        <f t="shared" si="3"/>
        <v>43</v>
      </c>
      <c r="AT9" s="42">
        <f t="shared" si="3"/>
        <v>44</v>
      </c>
      <c r="AU9" s="42">
        <f t="shared" si="3"/>
        <v>45</v>
      </c>
      <c r="AV9" s="42">
        <f t="shared" si="3"/>
        <v>46</v>
      </c>
      <c r="AW9" s="42">
        <f t="shared" si="3"/>
        <v>47</v>
      </c>
      <c r="AX9" s="42">
        <f t="shared" si="3"/>
        <v>48</v>
      </c>
      <c r="AY9" s="42">
        <f t="shared" si="3"/>
        <v>49</v>
      </c>
      <c r="AZ9" s="42">
        <f t="shared" si="3"/>
        <v>50</v>
      </c>
      <c r="BA9" s="42">
        <f t="shared" si="3"/>
        <v>51</v>
      </c>
      <c r="BB9" s="42">
        <f t="shared" si="3"/>
        <v>52</v>
      </c>
      <c r="BC9" s="42">
        <f t="shared" si="3"/>
        <v>53</v>
      </c>
      <c r="BD9" s="42">
        <f t="shared" si="3"/>
        <v>54</v>
      </c>
      <c r="BE9" s="42">
        <f t="shared" si="3"/>
        <v>55</v>
      </c>
      <c r="BF9" s="42">
        <f t="shared" ref="BF9:BY9" si="4">BE$9+1</f>
        <v>56</v>
      </c>
      <c r="BG9" s="42">
        <f t="shared" si="4"/>
        <v>57</v>
      </c>
      <c r="BH9" s="42">
        <f t="shared" si="4"/>
        <v>58</v>
      </c>
      <c r="BI9" s="42">
        <f t="shared" si="4"/>
        <v>59</v>
      </c>
      <c r="BJ9" s="42">
        <f t="shared" si="4"/>
        <v>60</v>
      </c>
      <c r="BK9" s="42">
        <f t="shared" si="4"/>
        <v>61</v>
      </c>
      <c r="BL9" s="42">
        <f t="shared" si="4"/>
        <v>62</v>
      </c>
      <c r="BM9" s="42">
        <f t="shared" si="4"/>
        <v>63</v>
      </c>
      <c r="BN9" s="42">
        <f t="shared" si="4"/>
        <v>64</v>
      </c>
      <c r="BO9" s="42">
        <f t="shared" si="4"/>
        <v>65</v>
      </c>
      <c r="BP9" s="42">
        <f t="shared" si="4"/>
        <v>66</v>
      </c>
      <c r="BQ9" s="42">
        <f t="shared" si="4"/>
        <v>67</v>
      </c>
      <c r="BR9" s="42">
        <f t="shared" si="4"/>
        <v>68</v>
      </c>
      <c r="BS9" s="42">
        <f t="shared" si="4"/>
        <v>69</v>
      </c>
      <c r="BT9" s="42">
        <f t="shared" si="4"/>
        <v>70</v>
      </c>
      <c r="BU9" s="42">
        <f t="shared" si="4"/>
        <v>71</v>
      </c>
      <c r="BV9" s="42">
        <f t="shared" si="4"/>
        <v>72</v>
      </c>
      <c r="BW9" s="42">
        <f t="shared" si="4"/>
        <v>73</v>
      </c>
      <c r="BX9" s="42">
        <f t="shared" si="4"/>
        <v>74</v>
      </c>
      <c r="BY9" s="42">
        <f t="shared" si="4"/>
        <v>75</v>
      </c>
    </row>
    <row r="10" spans="1:244" s="46" customFormat="1" ht="12.75" thickBot="1" x14ac:dyDescent="0.25">
      <c r="A10" s="44" t="s">
        <v>71</v>
      </c>
      <c r="B10" s="65"/>
      <c r="C10" s="638"/>
      <c r="D10" s="437">
        <f>VLOOKUP(D7,__Периоды,4,0)</f>
        <v>0.04</v>
      </c>
      <c r="E10" s="437">
        <f t="shared" ref="E10:Y10" si="5">VLOOKUP(E7,__Периоды,4,0)</f>
        <v>4.2999999999999997E-2</v>
      </c>
      <c r="F10" s="437">
        <f t="shared" si="5"/>
        <v>0.03</v>
      </c>
      <c r="G10" s="437">
        <f t="shared" si="5"/>
        <v>3.6999999999999998E-2</v>
      </c>
      <c r="H10" s="437">
        <f t="shared" si="5"/>
        <v>0.04</v>
      </c>
      <c r="I10" s="437">
        <f>VLOOKUP(I7,__Периоды,4,0)</f>
        <v>0.04</v>
      </c>
      <c r="J10" s="45">
        <f t="shared" si="5"/>
        <v>0.04</v>
      </c>
      <c r="K10" s="45" t="e">
        <f t="shared" si="5"/>
        <v>#N/A</v>
      </c>
      <c r="L10" s="45" t="e">
        <f t="shared" si="5"/>
        <v>#N/A</v>
      </c>
      <c r="M10" s="45" t="e">
        <f t="shared" si="5"/>
        <v>#N/A</v>
      </c>
      <c r="N10" s="45" t="e">
        <f t="shared" si="5"/>
        <v>#N/A</v>
      </c>
      <c r="O10" s="45" t="e">
        <f t="shared" si="5"/>
        <v>#N/A</v>
      </c>
      <c r="P10" s="45" t="e">
        <f t="shared" si="5"/>
        <v>#N/A</v>
      </c>
      <c r="Q10" s="45" t="e">
        <f t="shared" si="5"/>
        <v>#N/A</v>
      </c>
      <c r="R10" s="45" t="e">
        <f t="shared" si="5"/>
        <v>#N/A</v>
      </c>
      <c r="S10" s="45" t="e">
        <f t="shared" si="5"/>
        <v>#N/A</v>
      </c>
      <c r="T10" s="45" t="e">
        <f t="shared" si="5"/>
        <v>#N/A</v>
      </c>
      <c r="U10" s="45" t="e">
        <f t="shared" si="5"/>
        <v>#N/A</v>
      </c>
      <c r="V10" s="45" t="e">
        <f t="shared" si="5"/>
        <v>#N/A</v>
      </c>
      <c r="W10" s="45" t="e">
        <f t="shared" si="5"/>
        <v>#N/A</v>
      </c>
      <c r="X10" s="45" t="e">
        <f t="shared" si="5"/>
        <v>#N/A</v>
      </c>
      <c r="Y10" s="45" t="e">
        <f t="shared" si="5"/>
        <v>#N/A</v>
      </c>
      <c r="Z10" s="45" t="e">
        <f t="shared" ref="Z10:BY10" si="6">VLOOKUP(Z7,__Периоды,4,0)</f>
        <v>#N/A</v>
      </c>
      <c r="AA10" s="45" t="e">
        <f t="shared" si="6"/>
        <v>#N/A</v>
      </c>
      <c r="AB10" s="45" t="e">
        <f t="shared" si="6"/>
        <v>#N/A</v>
      </c>
      <c r="AC10" s="45" t="e">
        <f t="shared" si="6"/>
        <v>#N/A</v>
      </c>
      <c r="AD10" s="45" t="e">
        <f t="shared" si="6"/>
        <v>#N/A</v>
      </c>
      <c r="AE10" s="45" t="e">
        <f t="shared" si="6"/>
        <v>#N/A</v>
      </c>
      <c r="AF10" s="45" t="e">
        <f t="shared" si="6"/>
        <v>#N/A</v>
      </c>
      <c r="AG10" s="45" t="e">
        <f t="shared" si="6"/>
        <v>#N/A</v>
      </c>
      <c r="AH10" s="45" t="e">
        <f t="shared" si="6"/>
        <v>#N/A</v>
      </c>
      <c r="AI10" s="45" t="e">
        <f t="shared" si="6"/>
        <v>#N/A</v>
      </c>
      <c r="AJ10" s="45" t="e">
        <f t="shared" si="6"/>
        <v>#N/A</v>
      </c>
      <c r="AK10" s="45" t="e">
        <f t="shared" si="6"/>
        <v>#N/A</v>
      </c>
      <c r="AL10" s="45" t="e">
        <f t="shared" si="6"/>
        <v>#N/A</v>
      </c>
      <c r="AM10" s="45" t="e">
        <f t="shared" si="6"/>
        <v>#N/A</v>
      </c>
      <c r="AN10" s="45" t="e">
        <f t="shared" si="6"/>
        <v>#N/A</v>
      </c>
      <c r="AO10" s="45" t="e">
        <f t="shared" si="6"/>
        <v>#N/A</v>
      </c>
      <c r="AP10" s="45" t="e">
        <f t="shared" si="6"/>
        <v>#N/A</v>
      </c>
      <c r="AQ10" s="45" t="e">
        <f t="shared" si="6"/>
        <v>#N/A</v>
      </c>
      <c r="AR10" s="45" t="e">
        <f t="shared" si="6"/>
        <v>#N/A</v>
      </c>
      <c r="AS10" s="45" t="e">
        <f t="shared" si="6"/>
        <v>#N/A</v>
      </c>
      <c r="AT10" s="45" t="e">
        <f t="shared" si="6"/>
        <v>#N/A</v>
      </c>
      <c r="AU10" s="45" t="e">
        <f t="shared" si="6"/>
        <v>#N/A</v>
      </c>
      <c r="AV10" s="45" t="e">
        <f t="shared" si="6"/>
        <v>#N/A</v>
      </c>
      <c r="AW10" s="45" t="e">
        <f t="shared" si="6"/>
        <v>#N/A</v>
      </c>
      <c r="AX10" s="45" t="e">
        <f t="shared" si="6"/>
        <v>#N/A</v>
      </c>
      <c r="AY10" s="45" t="e">
        <f t="shared" si="6"/>
        <v>#N/A</v>
      </c>
      <c r="AZ10" s="45" t="e">
        <f t="shared" si="6"/>
        <v>#N/A</v>
      </c>
      <c r="BA10" s="45" t="e">
        <f t="shared" si="6"/>
        <v>#N/A</v>
      </c>
      <c r="BB10" s="45" t="e">
        <f t="shared" si="6"/>
        <v>#N/A</v>
      </c>
      <c r="BC10" s="45" t="e">
        <f t="shared" si="6"/>
        <v>#N/A</v>
      </c>
      <c r="BD10" s="45" t="e">
        <f t="shared" si="6"/>
        <v>#N/A</v>
      </c>
      <c r="BE10" s="45" t="e">
        <f t="shared" si="6"/>
        <v>#N/A</v>
      </c>
      <c r="BF10" s="45" t="e">
        <f t="shared" si="6"/>
        <v>#N/A</v>
      </c>
      <c r="BG10" s="45" t="e">
        <f t="shared" si="6"/>
        <v>#N/A</v>
      </c>
      <c r="BH10" s="45" t="e">
        <f t="shared" si="6"/>
        <v>#N/A</v>
      </c>
      <c r="BI10" s="45" t="e">
        <f t="shared" si="6"/>
        <v>#N/A</v>
      </c>
      <c r="BJ10" s="45" t="e">
        <f t="shared" si="6"/>
        <v>#N/A</v>
      </c>
      <c r="BK10" s="45" t="e">
        <f t="shared" si="6"/>
        <v>#N/A</v>
      </c>
      <c r="BL10" s="45" t="e">
        <f t="shared" si="6"/>
        <v>#N/A</v>
      </c>
      <c r="BM10" s="45" t="e">
        <f t="shared" si="6"/>
        <v>#N/A</v>
      </c>
      <c r="BN10" s="45" t="e">
        <f t="shared" si="6"/>
        <v>#N/A</v>
      </c>
      <c r="BO10" s="45" t="e">
        <f t="shared" si="6"/>
        <v>#N/A</v>
      </c>
      <c r="BP10" s="45" t="e">
        <f t="shared" si="6"/>
        <v>#N/A</v>
      </c>
      <c r="BQ10" s="45" t="e">
        <f t="shared" si="6"/>
        <v>#N/A</v>
      </c>
      <c r="BR10" s="45" t="e">
        <f t="shared" si="6"/>
        <v>#N/A</v>
      </c>
      <c r="BS10" s="45" t="e">
        <f t="shared" si="6"/>
        <v>#N/A</v>
      </c>
      <c r="BT10" s="45" t="e">
        <f t="shared" si="6"/>
        <v>#N/A</v>
      </c>
      <c r="BU10" s="45" t="e">
        <f t="shared" si="6"/>
        <v>#N/A</v>
      </c>
      <c r="BV10" s="45" t="e">
        <f t="shared" si="6"/>
        <v>#N/A</v>
      </c>
      <c r="BW10" s="45" t="e">
        <f t="shared" si="6"/>
        <v>#N/A</v>
      </c>
      <c r="BX10" s="45" t="e">
        <f t="shared" si="6"/>
        <v>#N/A</v>
      </c>
      <c r="BY10" s="45" t="e">
        <f t="shared" si="6"/>
        <v>#N/A</v>
      </c>
    </row>
    <row r="11" spans="1:244" s="49" customFormat="1" ht="13.5" thickTop="1" thickBot="1" x14ac:dyDescent="0.25">
      <c r="A11" s="47" t="s">
        <v>13</v>
      </c>
      <c r="B11" s="635">
        <v>40908</v>
      </c>
      <c r="C11" s="639">
        <v>40909</v>
      </c>
      <c r="D11" s="639">
        <f t="shared" ref="D11:BO11" si="7">VLOOKUP(D$7,__Периоды,2,0)</f>
        <v>43101</v>
      </c>
      <c r="E11" s="639">
        <f t="shared" si="7"/>
        <v>43739</v>
      </c>
      <c r="F11" s="639">
        <f t="shared" si="7"/>
        <v>44105</v>
      </c>
      <c r="G11" s="639">
        <f t="shared" si="7"/>
        <v>44470</v>
      </c>
      <c r="H11" s="639">
        <f t="shared" si="7"/>
        <v>44835</v>
      </c>
      <c r="I11" s="639">
        <f t="shared" si="7"/>
        <v>45200</v>
      </c>
      <c r="J11" s="48">
        <f t="shared" si="7"/>
        <v>45566</v>
      </c>
      <c r="K11" s="48" t="e">
        <f t="shared" si="7"/>
        <v>#N/A</v>
      </c>
      <c r="L11" s="48" t="e">
        <f t="shared" si="7"/>
        <v>#N/A</v>
      </c>
      <c r="M11" s="48" t="e">
        <f t="shared" si="7"/>
        <v>#N/A</v>
      </c>
      <c r="N11" s="48" t="e">
        <f t="shared" si="7"/>
        <v>#N/A</v>
      </c>
      <c r="O11" s="48" t="e">
        <f t="shared" si="7"/>
        <v>#N/A</v>
      </c>
      <c r="P11" s="48" t="e">
        <f t="shared" si="7"/>
        <v>#N/A</v>
      </c>
      <c r="Q11" s="48" t="e">
        <f t="shared" si="7"/>
        <v>#N/A</v>
      </c>
      <c r="R11" s="48" t="e">
        <f t="shared" si="7"/>
        <v>#N/A</v>
      </c>
      <c r="S11" s="48" t="e">
        <f t="shared" si="7"/>
        <v>#N/A</v>
      </c>
      <c r="T11" s="48" t="e">
        <f t="shared" si="7"/>
        <v>#N/A</v>
      </c>
      <c r="U11" s="48" t="e">
        <f t="shared" si="7"/>
        <v>#N/A</v>
      </c>
      <c r="V11" s="48" t="e">
        <f t="shared" si="7"/>
        <v>#N/A</v>
      </c>
      <c r="W11" s="48" t="e">
        <f t="shared" si="7"/>
        <v>#N/A</v>
      </c>
      <c r="X11" s="48" t="e">
        <f t="shared" si="7"/>
        <v>#N/A</v>
      </c>
      <c r="Y11" s="48" t="e">
        <f t="shared" si="7"/>
        <v>#N/A</v>
      </c>
      <c r="Z11" s="48" t="e">
        <f t="shared" si="7"/>
        <v>#N/A</v>
      </c>
      <c r="AA11" s="48" t="e">
        <f t="shared" si="7"/>
        <v>#N/A</v>
      </c>
      <c r="AB11" s="48" t="e">
        <f t="shared" si="7"/>
        <v>#N/A</v>
      </c>
      <c r="AC11" s="48" t="e">
        <f t="shared" si="7"/>
        <v>#N/A</v>
      </c>
      <c r="AD11" s="48" t="e">
        <f t="shared" si="7"/>
        <v>#N/A</v>
      </c>
      <c r="AE11" s="48" t="e">
        <f t="shared" si="7"/>
        <v>#N/A</v>
      </c>
      <c r="AF11" s="48" t="e">
        <f t="shared" si="7"/>
        <v>#N/A</v>
      </c>
      <c r="AG11" s="48" t="e">
        <f t="shared" si="7"/>
        <v>#N/A</v>
      </c>
      <c r="AH11" s="48" t="e">
        <f t="shared" si="7"/>
        <v>#N/A</v>
      </c>
      <c r="AI11" s="48" t="e">
        <f t="shared" si="7"/>
        <v>#N/A</v>
      </c>
      <c r="AJ11" s="48" t="e">
        <f t="shared" si="7"/>
        <v>#N/A</v>
      </c>
      <c r="AK11" s="48" t="e">
        <f t="shared" si="7"/>
        <v>#N/A</v>
      </c>
      <c r="AL11" s="48" t="e">
        <f t="shared" si="7"/>
        <v>#N/A</v>
      </c>
      <c r="AM11" s="48" t="e">
        <f t="shared" si="7"/>
        <v>#N/A</v>
      </c>
      <c r="AN11" s="48" t="e">
        <f t="shared" si="7"/>
        <v>#N/A</v>
      </c>
      <c r="AO11" s="48" t="e">
        <f t="shared" si="7"/>
        <v>#N/A</v>
      </c>
      <c r="AP11" s="48" t="e">
        <f t="shared" si="7"/>
        <v>#N/A</v>
      </c>
      <c r="AQ11" s="48" t="e">
        <f t="shared" si="7"/>
        <v>#N/A</v>
      </c>
      <c r="AR11" s="48" t="e">
        <f t="shared" si="7"/>
        <v>#N/A</v>
      </c>
      <c r="AS11" s="48" t="e">
        <f t="shared" si="7"/>
        <v>#N/A</v>
      </c>
      <c r="AT11" s="48" t="e">
        <f t="shared" si="7"/>
        <v>#N/A</v>
      </c>
      <c r="AU11" s="48" t="e">
        <f t="shared" si="7"/>
        <v>#N/A</v>
      </c>
      <c r="AV11" s="48" t="e">
        <f t="shared" si="7"/>
        <v>#N/A</v>
      </c>
      <c r="AW11" s="48" t="e">
        <f t="shared" si="7"/>
        <v>#N/A</v>
      </c>
      <c r="AX11" s="48" t="e">
        <f t="shared" si="7"/>
        <v>#N/A</v>
      </c>
      <c r="AY11" s="48" t="e">
        <f t="shared" si="7"/>
        <v>#N/A</v>
      </c>
      <c r="AZ11" s="48" t="e">
        <f t="shared" si="7"/>
        <v>#N/A</v>
      </c>
      <c r="BA11" s="48" t="e">
        <f t="shared" si="7"/>
        <v>#N/A</v>
      </c>
      <c r="BB11" s="48" t="e">
        <f t="shared" si="7"/>
        <v>#N/A</v>
      </c>
      <c r="BC11" s="48" t="e">
        <f t="shared" si="7"/>
        <v>#N/A</v>
      </c>
      <c r="BD11" s="48" t="e">
        <f t="shared" si="7"/>
        <v>#N/A</v>
      </c>
      <c r="BE11" s="48" t="e">
        <f t="shared" si="7"/>
        <v>#N/A</v>
      </c>
      <c r="BF11" s="48" t="e">
        <f t="shared" si="7"/>
        <v>#N/A</v>
      </c>
      <c r="BG11" s="48" t="e">
        <f t="shared" si="7"/>
        <v>#N/A</v>
      </c>
      <c r="BH11" s="48" t="e">
        <f t="shared" si="7"/>
        <v>#N/A</v>
      </c>
      <c r="BI11" s="48" t="e">
        <f t="shared" si="7"/>
        <v>#N/A</v>
      </c>
      <c r="BJ11" s="48" t="e">
        <f t="shared" si="7"/>
        <v>#N/A</v>
      </c>
      <c r="BK11" s="48" t="e">
        <f t="shared" si="7"/>
        <v>#N/A</v>
      </c>
      <c r="BL11" s="48" t="e">
        <f t="shared" si="7"/>
        <v>#N/A</v>
      </c>
      <c r="BM11" s="48" t="e">
        <f t="shared" si="7"/>
        <v>#N/A</v>
      </c>
      <c r="BN11" s="48" t="e">
        <f t="shared" si="7"/>
        <v>#N/A</v>
      </c>
      <c r="BO11" s="48" t="e">
        <f t="shared" si="7"/>
        <v>#N/A</v>
      </c>
      <c r="BP11" s="48" t="e">
        <f t="shared" ref="BP11:BY11" si="8">VLOOKUP(BP$7,__Периоды,2,0)</f>
        <v>#N/A</v>
      </c>
      <c r="BQ11" s="48" t="e">
        <f t="shared" si="8"/>
        <v>#N/A</v>
      </c>
      <c r="BR11" s="48" t="e">
        <f t="shared" si="8"/>
        <v>#N/A</v>
      </c>
      <c r="BS11" s="48" t="e">
        <f t="shared" si="8"/>
        <v>#N/A</v>
      </c>
      <c r="BT11" s="48" t="e">
        <f t="shared" si="8"/>
        <v>#N/A</v>
      </c>
      <c r="BU11" s="48" t="e">
        <f t="shared" si="8"/>
        <v>#N/A</v>
      </c>
      <c r="BV11" s="48" t="e">
        <f t="shared" si="8"/>
        <v>#N/A</v>
      </c>
      <c r="BW11" s="48" t="e">
        <f t="shared" si="8"/>
        <v>#N/A</v>
      </c>
      <c r="BX11" s="48" t="e">
        <f t="shared" si="8"/>
        <v>#N/A</v>
      </c>
      <c r="BY11" s="48" t="e">
        <f t="shared" si="8"/>
        <v>#N/A</v>
      </c>
    </row>
    <row r="12" spans="1:244" s="52" customFormat="1" ht="12" x14ac:dyDescent="0.2">
      <c r="A12" s="443">
        <v>1</v>
      </c>
      <c r="B12" s="1323">
        <v>2221</v>
      </c>
      <c r="C12" s="1309">
        <v>10000</v>
      </c>
      <c r="D12" s="1309">
        <f t="shared" ref="D12:D61" si="9">ROUNDUP(C12*(D$10+1),0)</f>
        <v>10400</v>
      </c>
      <c r="E12" s="1309">
        <f t="shared" ref="E12:Y21" si="10">ROUNDUP(D12*(E$10+1),0)</f>
        <v>10848</v>
      </c>
      <c r="F12" s="1309">
        <f t="shared" si="10"/>
        <v>11174</v>
      </c>
      <c r="G12" s="1309">
        <f t="shared" si="10"/>
        <v>11588</v>
      </c>
      <c r="H12" s="1309">
        <f t="shared" si="10"/>
        <v>12052</v>
      </c>
      <c r="I12" s="1309">
        <f t="shared" si="10"/>
        <v>12535</v>
      </c>
      <c r="J12" s="1310">
        <f t="shared" si="10"/>
        <v>13037</v>
      </c>
      <c r="K12" s="1310" t="e">
        <f t="shared" si="10"/>
        <v>#N/A</v>
      </c>
      <c r="L12" s="1310" t="e">
        <f t="shared" si="10"/>
        <v>#N/A</v>
      </c>
      <c r="M12" s="1310" t="e">
        <f t="shared" si="10"/>
        <v>#N/A</v>
      </c>
      <c r="N12" s="1310" t="e">
        <f t="shared" si="10"/>
        <v>#N/A</v>
      </c>
      <c r="O12" s="1310" t="e">
        <f t="shared" si="10"/>
        <v>#N/A</v>
      </c>
      <c r="P12" s="1310" t="e">
        <f t="shared" si="10"/>
        <v>#N/A</v>
      </c>
      <c r="Q12" s="1310" t="e">
        <f t="shared" si="10"/>
        <v>#N/A</v>
      </c>
      <c r="R12" s="1310" t="e">
        <f t="shared" si="10"/>
        <v>#N/A</v>
      </c>
      <c r="S12" s="1310" t="e">
        <f t="shared" si="10"/>
        <v>#N/A</v>
      </c>
      <c r="T12" s="1310" t="e">
        <f t="shared" si="10"/>
        <v>#N/A</v>
      </c>
      <c r="U12" s="1310" t="e">
        <f t="shared" si="10"/>
        <v>#N/A</v>
      </c>
      <c r="V12" s="1310" t="e">
        <f t="shared" si="10"/>
        <v>#N/A</v>
      </c>
      <c r="W12" s="1310" t="e">
        <f t="shared" si="10"/>
        <v>#N/A</v>
      </c>
      <c r="X12" s="1310" t="e">
        <f t="shared" si="10"/>
        <v>#N/A</v>
      </c>
      <c r="Y12" s="1310" t="e">
        <f t="shared" si="10"/>
        <v>#N/A</v>
      </c>
      <c r="Z12" s="1310" t="e">
        <f t="shared" ref="Z12:Z61" si="11">ROUNDUP(Y12*(Z$10+1),0)</f>
        <v>#N/A</v>
      </c>
      <c r="AA12" s="1310" t="e">
        <f t="shared" ref="AA12:AA61" si="12">ROUNDUP(Z12*(AA$10+1),0)</f>
        <v>#N/A</v>
      </c>
      <c r="AB12" s="1310" t="e">
        <f t="shared" ref="AB12:AB61" si="13">ROUNDUP(AA12*(AB$10+1),0)</f>
        <v>#N/A</v>
      </c>
      <c r="AC12" s="1310" t="e">
        <f t="shared" ref="AC12:AC61" si="14">ROUNDUP(AB12*(AC$10+1),0)</f>
        <v>#N/A</v>
      </c>
      <c r="AD12" s="1310" t="e">
        <f t="shared" ref="AD12:AD61" si="15">ROUNDUP(AC12*(AD$10+1),0)</f>
        <v>#N/A</v>
      </c>
      <c r="AE12" s="1310" t="e">
        <f t="shared" ref="AE12:AE61" si="16">ROUNDUP(AD12*(AE$10+1),0)</f>
        <v>#N/A</v>
      </c>
      <c r="AF12" s="1310" t="e">
        <f t="shared" ref="AF12:AF61" si="17">ROUNDUP(AE12*(AF$10+1),0)</f>
        <v>#N/A</v>
      </c>
      <c r="AG12" s="1310" t="e">
        <f t="shared" ref="AG12:AG61" si="18">ROUNDUP(AF12*(AG$10+1),0)</f>
        <v>#N/A</v>
      </c>
      <c r="AH12" s="1310" t="e">
        <f t="shared" ref="AH12:AH61" si="19">ROUNDUP(AG12*(AH$10+1),0)</f>
        <v>#N/A</v>
      </c>
      <c r="AI12" s="1310" t="e">
        <f t="shared" ref="AI12:AI61" si="20">ROUNDUP(AH12*(AI$10+1),0)</f>
        <v>#N/A</v>
      </c>
      <c r="AJ12" s="1310" t="e">
        <f t="shared" ref="AJ12:AJ61" si="21">ROUNDUP(AI12*(AJ$10+1),0)</f>
        <v>#N/A</v>
      </c>
      <c r="AK12" s="1310" t="e">
        <f t="shared" ref="AK12:AK61" si="22">ROUNDUP(AJ12*(AK$10+1),0)</f>
        <v>#N/A</v>
      </c>
      <c r="AL12" s="1310" t="e">
        <f t="shared" ref="AL12:AL61" si="23">ROUNDUP(AK12*(AL$10+1),0)</f>
        <v>#N/A</v>
      </c>
      <c r="AM12" s="1310" t="e">
        <f t="shared" ref="AM12:AM61" si="24">ROUNDUP(AL12*(AM$10+1),0)</f>
        <v>#N/A</v>
      </c>
      <c r="AN12" s="1310" t="e">
        <f t="shared" ref="AN12:AN61" si="25">ROUNDUP(AM12*(AN$10+1),0)</f>
        <v>#N/A</v>
      </c>
      <c r="AO12" s="1310" t="e">
        <f t="shared" ref="AO12:AO61" si="26">ROUNDUP(AN12*(AO$10+1),0)</f>
        <v>#N/A</v>
      </c>
      <c r="AP12" s="1310" t="e">
        <f t="shared" ref="AP12:AP61" si="27">ROUNDUP(AO12*(AP$10+1),0)</f>
        <v>#N/A</v>
      </c>
      <c r="AQ12" s="1310" t="e">
        <f t="shared" ref="AQ12:AQ61" si="28">ROUNDUP(AP12*(AQ$10+1),0)</f>
        <v>#N/A</v>
      </c>
      <c r="AR12" s="1310" t="e">
        <f t="shared" ref="AR12:AR61" si="29">ROUNDUP(AQ12*(AR$10+1),0)</f>
        <v>#N/A</v>
      </c>
      <c r="AS12" s="1310" t="e">
        <f t="shared" ref="AS12:AS61" si="30">ROUNDUP(AR12*(AS$10+1),0)</f>
        <v>#N/A</v>
      </c>
      <c r="AT12" s="1310" t="e">
        <f t="shared" ref="AT12:AT61" si="31">ROUNDUP(AS12*(AT$10+1),0)</f>
        <v>#N/A</v>
      </c>
      <c r="AU12" s="1310" t="e">
        <f t="shared" ref="AU12:AU61" si="32">ROUNDUP(AT12*(AU$10+1),0)</f>
        <v>#N/A</v>
      </c>
      <c r="AV12" s="1310" t="e">
        <f t="shared" ref="AV12:AV61" si="33">ROUNDUP(AU12*(AV$10+1),0)</f>
        <v>#N/A</v>
      </c>
      <c r="AW12" s="1310" t="e">
        <f t="shared" ref="AW12:AW61" si="34">ROUNDUP(AV12*(AW$10+1),0)</f>
        <v>#N/A</v>
      </c>
      <c r="AX12" s="1310" t="e">
        <f t="shared" ref="AX12:AX61" si="35">ROUNDUP(AW12*(AX$10+1),0)</f>
        <v>#N/A</v>
      </c>
      <c r="AY12" s="1310" t="e">
        <f t="shared" ref="AY12:AY61" si="36">ROUNDUP(AX12*(AY$10+1),0)</f>
        <v>#N/A</v>
      </c>
      <c r="AZ12" s="1310" t="e">
        <f t="shared" ref="AZ12:AZ61" si="37">ROUNDUP(AY12*(AZ$10+1),0)</f>
        <v>#N/A</v>
      </c>
      <c r="BA12" s="1310" t="e">
        <f t="shared" ref="BA12:BA61" si="38">ROUNDUP(AZ12*(BA$10+1),0)</f>
        <v>#N/A</v>
      </c>
      <c r="BB12" s="1310" t="e">
        <f t="shared" ref="BB12:BB61" si="39">ROUNDUP(BA12*(BB$10+1),0)</f>
        <v>#N/A</v>
      </c>
      <c r="BC12" s="1310" t="e">
        <f t="shared" ref="BC12:BC61" si="40">ROUNDUP(BB12*(BC$10+1),0)</f>
        <v>#N/A</v>
      </c>
      <c r="BD12" s="1310" t="e">
        <f t="shared" ref="BD12:BD61" si="41">ROUNDUP(BC12*(BD$10+1),0)</f>
        <v>#N/A</v>
      </c>
      <c r="BE12" s="1310" t="e">
        <f t="shared" ref="BE12:BE61" si="42">ROUNDUP(BD12*(BE$10+1),0)</f>
        <v>#N/A</v>
      </c>
      <c r="BF12" s="1310" t="e">
        <f t="shared" ref="BF12:BF61" si="43">ROUNDUP(BE12*(BF$10+1),0)</f>
        <v>#N/A</v>
      </c>
      <c r="BG12" s="1310" t="e">
        <f t="shared" ref="BG12:BG61" si="44">ROUNDUP(BF12*(BG$10+1),0)</f>
        <v>#N/A</v>
      </c>
      <c r="BH12" s="1310" t="e">
        <f t="shared" ref="BH12:BH61" si="45">ROUNDUP(BG12*(BH$10+1),0)</f>
        <v>#N/A</v>
      </c>
      <c r="BI12" s="1310" t="e">
        <f t="shared" ref="BI12:BI61" si="46">ROUNDUP(BH12*(BI$10+1),0)</f>
        <v>#N/A</v>
      </c>
      <c r="BJ12" s="1310" t="e">
        <f t="shared" ref="BJ12:BJ61" si="47">ROUNDUP(BI12*(BJ$10+1),0)</f>
        <v>#N/A</v>
      </c>
      <c r="BK12" s="1310" t="e">
        <f t="shared" ref="BK12:BK61" si="48">ROUNDUP(BJ12*(BK$10+1),0)</f>
        <v>#N/A</v>
      </c>
      <c r="BL12" s="1310" t="e">
        <f t="shared" ref="BL12:BL61" si="49">ROUNDUP(BK12*(BL$10+1),0)</f>
        <v>#N/A</v>
      </c>
      <c r="BM12" s="1310" t="e">
        <f t="shared" ref="BM12:BM61" si="50">ROUNDUP(BL12*(BM$10+1),0)</f>
        <v>#N/A</v>
      </c>
      <c r="BN12" s="1310" t="e">
        <f t="shared" ref="BN12:BN61" si="51">ROUNDUP(BM12*(BN$10+1),0)</f>
        <v>#N/A</v>
      </c>
      <c r="BO12" s="1310" t="e">
        <f t="shared" ref="BO12:BO61" si="52">ROUNDUP(BN12*(BO$10+1),0)</f>
        <v>#N/A</v>
      </c>
      <c r="BP12" s="1310" t="e">
        <f t="shared" ref="BP12:BP61" si="53">ROUNDUP(BO12*(BP$10+1),0)</f>
        <v>#N/A</v>
      </c>
      <c r="BQ12" s="1310" t="e">
        <f t="shared" ref="BQ12:BQ61" si="54">ROUNDUP(BP12*(BQ$10+1),0)</f>
        <v>#N/A</v>
      </c>
      <c r="BR12" s="1310" t="e">
        <f t="shared" ref="BR12:BR61" si="55">ROUNDUP(BQ12*(BR$10+1),0)</f>
        <v>#N/A</v>
      </c>
      <c r="BS12" s="1310" t="e">
        <f t="shared" ref="BS12:BS61" si="56">ROUNDUP(BR12*(BS$10+1),0)</f>
        <v>#N/A</v>
      </c>
      <c r="BT12" s="1310" t="e">
        <f t="shared" ref="BT12:BT61" si="57">ROUNDUP(BS12*(BT$10+1),0)</f>
        <v>#N/A</v>
      </c>
      <c r="BU12" s="1310" t="e">
        <f t="shared" ref="BU12:BU61" si="58">ROUNDUP(BT12*(BU$10+1),0)</f>
        <v>#N/A</v>
      </c>
      <c r="BV12" s="1310" t="e">
        <f t="shared" ref="BV12:BV61" si="59">ROUNDUP(BU12*(BV$10+1),0)</f>
        <v>#N/A</v>
      </c>
      <c r="BW12" s="1310" t="e">
        <f t="shared" ref="BW12:BW61" si="60">ROUNDUP(BV12*(BW$10+1),0)</f>
        <v>#N/A</v>
      </c>
      <c r="BX12" s="1310" t="e">
        <f t="shared" ref="BX12:BX61" si="61">ROUNDUP(BW12*(BX$10+1),0)</f>
        <v>#N/A</v>
      </c>
      <c r="BY12" s="1310" t="e">
        <f t="shared" ref="BY12:BY61" si="62">ROUNDUP(BX12*(BY$10+1),0)</f>
        <v>#N/A</v>
      </c>
      <c r="BZ12" s="1311"/>
      <c r="CA12" s="1311"/>
      <c r="CB12" s="1311"/>
      <c r="CC12" s="1311"/>
      <c r="CD12" s="1311"/>
      <c r="CE12" s="1311"/>
      <c r="CF12" s="1311"/>
      <c r="CG12" s="1311"/>
      <c r="CH12" s="1311"/>
      <c r="CI12" s="1311"/>
      <c r="CJ12" s="1311"/>
      <c r="CK12" s="1311"/>
      <c r="CL12" s="1311"/>
      <c r="CM12" s="1311"/>
      <c r="CN12" s="1311"/>
      <c r="CO12" s="1311"/>
      <c r="CP12" s="1311"/>
      <c r="CQ12" s="1311"/>
      <c r="CR12" s="1311"/>
      <c r="CS12" s="1311"/>
      <c r="CT12" s="1311"/>
      <c r="CU12" s="1311"/>
      <c r="CV12" s="1311"/>
      <c r="CW12" s="1311"/>
      <c r="CX12" s="1311"/>
      <c r="CY12" s="1311"/>
      <c r="CZ12" s="1311"/>
      <c r="DA12" s="1311"/>
      <c r="DB12" s="1311"/>
      <c r="DC12" s="1311"/>
      <c r="DD12" s="1311"/>
      <c r="DE12" s="1311"/>
      <c r="DF12" s="1311"/>
      <c r="DG12" s="1311"/>
      <c r="DH12" s="1311"/>
      <c r="DI12" s="1311"/>
      <c r="DJ12" s="1311"/>
      <c r="DK12" s="1311"/>
      <c r="DL12" s="1311"/>
      <c r="DM12" s="1311"/>
      <c r="DN12" s="1311"/>
      <c r="DO12" s="1311"/>
      <c r="DP12" s="1311"/>
      <c r="DQ12" s="1311"/>
      <c r="DR12" s="1311"/>
      <c r="DS12" s="1311"/>
      <c r="DT12" s="1311"/>
      <c r="DU12" s="1311"/>
      <c r="DV12" s="1311"/>
      <c r="DW12" s="1311"/>
      <c r="DX12" s="1311"/>
      <c r="DY12" s="1311"/>
      <c r="DZ12" s="1311"/>
      <c r="EA12" s="1311"/>
      <c r="EB12" s="1311"/>
      <c r="EC12" s="1311"/>
      <c r="ED12" s="1311"/>
      <c r="EE12" s="1311"/>
      <c r="EF12" s="1311"/>
      <c r="EG12" s="1311"/>
      <c r="EH12" s="1311"/>
      <c r="EI12" s="1311"/>
      <c r="EJ12" s="1311"/>
      <c r="EK12" s="1311"/>
      <c r="EL12" s="1311"/>
      <c r="EM12" s="1311"/>
      <c r="EN12" s="1311"/>
      <c r="EO12" s="1311"/>
      <c r="EP12" s="1311"/>
      <c r="EQ12" s="1311"/>
      <c r="ER12" s="1311"/>
      <c r="ES12" s="1311"/>
      <c r="ET12" s="1311"/>
      <c r="EU12" s="1311"/>
      <c r="EV12" s="1311"/>
      <c r="EW12" s="1311"/>
      <c r="EX12" s="1311"/>
      <c r="EY12" s="1311"/>
      <c r="EZ12" s="1311"/>
      <c r="FA12" s="1311"/>
      <c r="FB12" s="1311"/>
      <c r="FC12" s="1311"/>
      <c r="FD12" s="1311"/>
      <c r="FE12" s="1311"/>
      <c r="FF12" s="1311"/>
      <c r="FG12" s="1311"/>
      <c r="FH12" s="1311"/>
      <c r="FI12" s="1311"/>
      <c r="FJ12" s="1311"/>
      <c r="FK12" s="1311"/>
      <c r="FL12" s="1311"/>
      <c r="FM12" s="1311"/>
      <c r="FN12" s="1311"/>
      <c r="FO12" s="1311"/>
      <c r="FP12" s="1311"/>
      <c r="FQ12" s="1311"/>
      <c r="FR12" s="1311"/>
      <c r="FS12" s="1311"/>
      <c r="FT12" s="1311"/>
      <c r="FU12" s="1311"/>
      <c r="FV12" s="1311"/>
      <c r="FW12" s="1311"/>
      <c r="FX12" s="1311"/>
      <c r="FY12" s="1311"/>
      <c r="FZ12" s="1311"/>
      <c r="GA12" s="1311"/>
      <c r="GB12" s="1311"/>
      <c r="GC12" s="1311"/>
      <c r="GD12" s="1311"/>
      <c r="GE12" s="1311"/>
      <c r="GF12" s="1311"/>
      <c r="GG12" s="1311"/>
      <c r="GH12" s="1311"/>
      <c r="GI12" s="1311"/>
      <c r="GJ12" s="1311"/>
      <c r="GK12" s="1311"/>
      <c r="GL12" s="1311"/>
      <c r="GM12" s="1311"/>
      <c r="GN12" s="1311"/>
      <c r="GO12" s="1311"/>
      <c r="GP12" s="1311"/>
      <c r="GQ12" s="1311"/>
      <c r="GR12" s="1311"/>
      <c r="GS12" s="1311"/>
      <c r="GT12" s="1311"/>
      <c r="GU12" s="1311"/>
      <c r="GV12" s="1311"/>
      <c r="GW12" s="1311"/>
      <c r="GX12" s="1311"/>
      <c r="GY12" s="1311"/>
      <c r="GZ12" s="1311"/>
      <c r="HA12" s="1311"/>
      <c r="HB12" s="1311"/>
      <c r="HC12" s="1311"/>
      <c r="HD12" s="1311"/>
      <c r="HE12" s="1311"/>
      <c r="HF12" s="1311"/>
      <c r="HG12" s="1311"/>
      <c r="HH12" s="1311"/>
      <c r="HI12" s="1311"/>
      <c r="HJ12" s="1311"/>
      <c r="HK12" s="1311"/>
      <c r="HL12" s="1311"/>
      <c r="HM12" s="1311"/>
      <c r="HN12" s="1311"/>
      <c r="HO12" s="1311"/>
      <c r="HP12" s="1311"/>
      <c r="HQ12" s="1311"/>
      <c r="HR12" s="1311"/>
      <c r="HS12" s="1311"/>
      <c r="HT12" s="1311"/>
      <c r="HU12" s="1311"/>
      <c r="HV12" s="1311"/>
      <c r="HW12" s="1311"/>
      <c r="HX12" s="1311"/>
      <c r="HY12" s="1311"/>
      <c r="HZ12" s="1311"/>
      <c r="IA12" s="1311"/>
      <c r="IB12" s="1311"/>
      <c r="IC12" s="1311"/>
      <c r="ID12" s="1311"/>
      <c r="IE12" s="1311"/>
      <c r="IF12" s="1311"/>
      <c r="IG12" s="1311"/>
      <c r="IH12" s="1311"/>
      <c r="II12" s="1311"/>
      <c r="IJ12" s="1311"/>
    </row>
    <row r="13" spans="1:244" s="53" customFormat="1" ht="12" x14ac:dyDescent="0.2">
      <c r="A13" s="444">
        <v>2</v>
      </c>
      <c r="B13" s="1312">
        <v>2441</v>
      </c>
      <c r="C13" s="1313">
        <v>11000</v>
      </c>
      <c r="D13" s="1313">
        <f t="shared" ref="D13:D21" si="63">ROUNDUP(C13*(D$10+1),0)</f>
        <v>11440</v>
      </c>
      <c r="E13" s="1313">
        <f t="shared" si="10"/>
        <v>11932</v>
      </c>
      <c r="F13" s="1313">
        <f t="shared" si="10"/>
        <v>12290</v>
      </c>
      <c r="G13" s="1313">
        <f t="shared" si="10"/>
        <v>12745</v>
      </c>
      <c r="H13" s="1313">
        <f t="shared" si="10"/>
        <v>13255</v>
      </c>
      <c r="I13" s="1313">
        <f t="shared" si="10"/>
        <v>13786</v>
      </c>
      <c r="J13" s="1314">
        <f t="shared" si="10"/>
        <v>14338</v>
      </c>
      <c r="K13" s="1314" t="e">
        <f t="shared" si="10"/>
        <v>#N/A</v>
      </c>
      <c r="L13" s="1314" t="e">
        <f t="shared" si="10"/>
        <v>#N/A</v>
      </c>
      <c r="M13" s="1314" t="e">
        <f t="shared" si="10"/>
        <v>#N/A</v>
      </c>
      <c r="N13" s="1314" t="e">
        <f t="shared" si="10"/>
        <v>#N/A</v>
      </c>
      <c r="O13" s="1314" t="e">
        <f t="shared" si="10"/>
        <v>#N/A</v>
      </c>
      <c r="P13" s="1314" t="e">
        <f t="shared" si="10"/>
        <v>#N/A</v>
      </c>
      <c r="Q13" s="1314" t="e">
        <f t="shared" si="10"/>
        <v>#N/A</v>
      </c>
      <c r="R13" s="1314" t="e">
        <f t="shared" si="10"/>
        <v>#N/A</v>
      </c>
      <c r="S13" s="1314" t="e">
        <f t="shared" si="10"/>
        <v>#N/A</v>
      </c>
      <c r="T13" s="1314" t="e">
        <f t="shared" si="10"/>
        <v>#N/A</v>
      </c>
      <c r="U13" s="1314" t="e">
        <f t="shared" si="10"/>
        <v>#N/A</v>
      </c>
      <c r="V13" s="1314" t="e">
        <f t="shared" si="10"/>
        <v>#N/A</v>
      </c>
      <c r="W13" s="1314" t="e">
        <f t="shared" si="10"/>
        <v>#N/A</v>
      </c>
      <c r="X13" s="1314" t="e">
        <f t="shared" si="10"/>
        <v>#N/A</v>
      </c>
      <c r="Y13" s="1314" t="e">
        <f t="shared" si="10"/>
        <v>#N/A</v>
      </c>
      <c r="Z13" s="1314" t="e">
        <f t="shared" si="11"/>
        <v>#N/A</v>
      </c>
      <c r="AA13" s="1314" t="e">
        <f t="shared" si="12"/>
        <v>#N/A</v>
      </c>
      <c r="AB13" s="1314" t="e">
        <f t="shared" si="13"/>
        <v>#N/A</v>
      </c>
      <c r="AC13" s="1314" t="e">
        <f t="shared" si="14"/>
        <v>#N/A</v>
      </c>
      <c r="AD13" s="1314" t="e">
        <f t="shared" si="15"/>
        <v>#N/A</v>
      </c>
      <c r="AE13" s="1314" t="e">
        <f t="shared" si="16"/>
        <v>#N/A</v>
      </c>
      <c r="AF13" s="1314" t="e">
        <f t="shared" si="17"/>
        <v>#N/A</v>
      </c>
      <c r="AG13" s="1314" t="e">
        <f t="shared" si="18"/>
        <v>#N/A</v>
      </c>
      <c r="AH13" s="1314" t="e">
        <f t="shared" si="19"/>
        <v>#N/A</v>
      </c>
      <c r="AI13" s="1314" t="e">
        <f t="shared" si="20"/>
        <v>#N/A</v>
      </c>
      <c r="AJ13" s="1314" t="e">
        <f t="shared" si="21"/>
        <v>#N/A</v>
      </c>
      <c r="AK13" s="1314" t="e">
        <f t="shared" si="22"/>
        <v>#N/A</v>
      </c>
      <c r="AL13" s="1314" t="e">
        <f t="shared" si="23"/>
        <v>#N/A</v>
      </c>
      <c r="AM13" s="1314" t="e">
        <f t="shared" si="24"/>
        <v>#N/A</v>
      </c>
      <c r="AN13" s="1314" t="e">
        <f t="shared" si="25"/>
        <v>#N/A</v>
      </c>
      <c r="AO13" s="1314" t="e">
        <f t="shared" si="26"/>
        <v>#N/A</v>
      </c>
      <c r="AP13" s="1314" t="e">
        <f t="shared" si="27"/>
        <v>#N/A</v>
      </c>
      <c r="AQ13" s="1314" t="e">
        <f t="shared" si="28"/>
        <v>#N/A</v>
      </c>
      <c r="AR13" s="1314" t="e">
        <f t="shared" si="29"/>
        <v>#N/A</v>
      </c>
      <c r="AS13" s="1314" t="e">
        <f t="shared" si="30"/>
        <v>#N/A</v>
      </c>
      <c r="AT13" s="1314" t="e">
        <f t="shared" si="31"/>
        <v>#N/A</v>
      </c>
      <c r="AU13" s="1314" t="e">
        <f t="shared" si="32"/>
        <v>#N/A</v>
      </c>
      <c r="AV13" s="1314" t="e">
        <f t="shared" si="33"/>
        <v>#N/A</v>
      </c>
      <c r="AW13" s="1314" t="e">
        <f t="shared" si="34"/>
        <v>#N/A</v>
      </c>
      <c r="AX13" s="1314" t="e">
        <f t="shared" si="35"/>
        <v>#N/A</v>
      </c>
      <c r="AY13" s="1314" t="e">
        <f t="shared" si="36"/>
        <v>#N/A</v>
      </c>
      <c r="AZ13" s="1314" t="e">
        <f t="shared" si="37"/>
        <v>#N/A</v>
      </c>
      <c r="BA13" s="1314" t="e">
        <f t="shared" si="38"/>
        <v>#N/A</v>
      </c>
      <c r="BB13" s="1314" t="e">
        <f t="shared" si="39"/>
        <v>#N/A</v>
      </c>
      <c r="BC13" s="1314" t="e">
        <f t="shared" si="40"/>
        <v>#N/A</v>
      </c>
      <c r="BD13" s="1314" t="e">
        <f t="shared" si="41"/>
        <v>#N/A</v>
      </c>
      <c r="BE13" s="1314" t="e">
        <f t="shared" si="42"/>
        <v>#N/A</v>
      </c>
      <c r="BF13" s="1314" t="e">
        <f t="shared" si="43"/>
        <v>#N/A</v>
      </c>
      <c r="BG13" s="1314" t="e">
        <f t="shared" si="44"/>
        <v>#N/A</v>
      </c>
      <c r="BH13" s="1314" t="e">
        <f t="shared" si="45"/>
        <v>#N/A</v>
      </c>
      <c r="BI13" s="1314" t="e">
        <f t="shared" si="46"/>
        <v>#N/A</v>
      </c>
      <c r="BJ13" s="1314" t="e">
        <f t="shared" si="47"/>
        <v>#N/A</v>
      </c>
      <c r="BK13" s="1314" t="e">
        <f t="shared" si="48"/>
        <v>#N/A</v>
      </c>
      <c r="BL13" s="1314" t="e">
        <f t="shared" si="49"/>
        <v>#N/A</v>
      </c>
      <c r="BM13" s="1314" t="e">
        <f t="shared" si="50"/>
        <v>#N/A</v>
      </c>
      <c r="BN13" s="1314" t="e">
        <f t="shared" si="51"/>
        <v>#N/A</v>
      </c>
      <c r="BO13" s="1314" t="e">
        <f t="shared" si="52"/>
        <v>#N/A</v>
      </c>
      <c r="BP13" s="1314" t="e">
        <f t="shared" si="53"/>
        <v>#N/A</v>
      </c>
      <c r="BQ13" s="1314" t="e">
        <f t="shared" si="54"/>
        <v>#N/A</v>
      </c>
      <c r="BR13" s="1314" t="e">
        <f t="shared" si="55"/>
        <v>#N/A</v>
      </c>
      <c r="BS13" s="1314" t="e">
        <f t="shared" si="56"/>
        <v>#N/A</v>
      </c>
      <c r="BT13" s="1314" t="e">
        <f t="shared" si="57"/>
        <v>#N/A</v>
      </c>
      <c r="BU13" s="1314" t="e">
        <f t="shared" si="58"/>
        <v>#N/A</v>
      </c>
      <c r="BV13" s="1314" t="e">
        <f t="shared" si="59"/>
        <v>#N/A</v>
      </c>
      <c r="BW13" s="1314" t="e">
        <f t="shared" si="60"/>
        <v>#N/A</v>
      </c>
      <c r="BX13" s="1314" t="e">
        <f t="shared" si="61"/>
        <v>#N/A</v>
      </c>
      <c r="BY13" s="1314" t="e">
        <f t="shared" si="62"/>
        <v>#N/A</v>
      </c>
      <c r="BZ13" s="1315"/>
      <c r="CA13" s="1315"/>
      <c r="CB13" s="1315"/>
      <c r="CC13" s="1315"/>
      <c r="CD13" s="1315"/>
      <c r="CE13" s="1315"/>
      <c r="CF13" s="1315"/>
      <c r="CG13" s="1315"/>
      <c r="CH13" s="1315"/>
      <c r="CI13" s="1315"/>
      <c r="CJ13" s="1315"/>
      <c r="CK13" s="1315"/>
      <c r="CL13" s="1315"/>
      <c r="CM13" s="1315"/>
      <c r="CN13" s="1315"/>
      <c r="CO13" s="1315"/>
      <c r="CP13" s="1315"/>
      <c r="CQ13" s="1315"/>
      <c r="CR13" s="1315"/>
      <c r="CS13" s="1315"/>
      <c r="CT13" s="1315"/>
      <c r="CU13" s="1315"/>
      <c r="CV13" s="1315"/>
      <c r="CW13" s="1315"/>
      <c r="CX13" s="1315"/>
      <c r="CY13" s="1315"/>
      <c r="CZ13" s="1315"/>
      <c r="DA13" s="1315"/>
      <c r="DB13" s="1315"/>
      <c r="DC13" s="1315"/>
      <c r="DD13" s="1315"/>
      <c r="DE13" s="1315"/>
      <c r="DF13" s="1315"/>
      <c r="DG13" s="1315"/>
      <c r="DH13" s="1315"/>
      <c r="DI13" s="1315"/>
      <c r="DJ13" s="1315"/>
      <c r="DK13" s="1315"/>
      <c r="DL13" s="1315"/>
      <c r="DM13" s="1315"/>
      <c r="DN13" s="1315"/>
      <c r="DO13" s="1315"/>
      <c r="DP13" s="1315"/>
      <c r="DQ13" s="1315"/>
      <c r="DR13" s="1315"/>
      <c r="DS13" s="1315"/>
      <c r="DT13" s="1315"/>
      <c r="DU13" s="1315"/>
      <c r="DV13" s="1315"/>
      <c r="DW13" s="1315"/>
      <c r="DX13" s="1315"/>
      <c r="DY13" s="1315"/>
      <c r="DZ13" s="1315"/>
      <c r="EA13" s="1315"/>
      <c r="EB13" s="1315"/>
      <c r="EC13" s="1315"/>
      <c r="ED13" s="1315"/>
      <c r="EE13" s="1315"/>
      <c r="EF13" s="1315"/>
      <c r="EG13" s="1315"/>
      <c r="EH13" s="1315"/>
      <c r="EI13" s="1315"/>
      <c r="EJ13" s="1315"/>
      <c r="EK13" s="1315"/>
      <c r="EL13" s="1315"/>
      <c r="EM13" s="1315"/>
      <c r="EN13" s="1315"/>
      <c r="EO13" s="1315"/>
      <c r="EP13" s="1315"/>
      <c r="EQ13" s="1315"/>
      <c r="ER13" s="1315"/>
      <c r="ES13" s="1315"/>
      <c r="ET13" s="1315"/>
      <c r="EU13" s="1315"/>
      <c r="EV13" s="1315"/>
      <c r="EW13" s="1315"/>
      <c r="EX13" s="1315"/>
      <c r="EY13" s="1315"/>
      <c r="EZ13" s="1315"/>
      <c r="FA13" s="1315"/>
      <c r="FB13" s="1315"/>
      <c r="FC13" s="1315"/>
      <c r="FD13" s="1315"/>
      <c r="FE13" s="1315"/>
      <c r="FF13" s="1315"/>
      <c r="FG13" s="1315"/>
      <c r="FH13" s="1315"/>
      <c r="FI13" s="1315"/>
      <c r="FJ13" s="1315"/>
      <c r="FK13" s="1315"/>
      <c r="FL13" s="1315"/>
      <c r="FM13" s="1315"/>
      <c r="FN13" s="1315"/>
      <c r="FO13" s="1315"/>
      <c r="FP13" s="1315"/>
      <c r="FQ13" s="1315"/>
      <c r="FR13" s="1315"/>
      <c r="FS13" s="1315"/>
      <c r="FT13" s="1315"/>
      <c r="FU13" s="1315"/>
      <c r="FV13" s="1315"/>
      <c r="FW13" s="1315"/>
      <c r="FX13" s="1315"/>
      <c r="FY13" s="1315"/>
      <c r="FZ13" s="1315"/>
      <c r="GA13" s="1315"/>
      <c r="GB13" s="1315"/>
      <c r="GC13" s="1315"/>
      <c r="GD13" s="1315"/>
      <c r="GE13" s="1315"/>
      <c r="GF13" s="1315"/>
      <c r="GG13" s="1315"/>
      <c r="GH13" s="1315"/>
      <c r="GI13" s="1315"/>
      <c r="GJ13" s="1315"/>
      <c r="GK13" s="1315"/>
      <c r="GL13" s="1315"/>
      <c r="GM13" s="1315"/>
      <c r="GN13" s="1315"/>
      <c r="GO13" s="1315"/>
      <c r="GP13" s="1315"/>
      <c r="GQ13" s="1315"/>
      <c r="GR13" s="1315"/>
      <c r="GS13" s="1315"/>
      <c r="GT13" s="1315"/>
      <c r="GU13" s="1315"/>
      <c r="GV13" s="1315"/>
      <c r="GW13" s="1315"/>
      <c r="GX13" s="1315"/>
      <c r="GY13" s="1315"/>
      <c r="GZ13" s="1315"/>
      <c r="HA13" s="1315"/>
      <c r="HB13" s="1315"/>
      <c r="HC13" s="1315"/>
      <c r="HD13" s="1315"/>
      <c r="HE13" s="1315"/>
      <c r="HF13" s="1315"/>
      <c r="HG13" s="1315"/>
      <c r="HH13" s="1315"/>
      <c r="HI13" s="1315"/>
      <c r="HJ13" s="1315"/>
      <c r="HK13" s="1315"/>
      <c r="HL13" s="1315"/>
      <c r="HM13" s="1315"/>
      <c r="HN13" s="1315"/>
      <c r="HO13" s="1315"/>
      <c r="HP13" s="1315"/>
      <c r="HQ13" s="1315"/>
      <c r="HR13" s="1315"/>
      <c r="HS13" s="1315"/>
      <c r="HT13" s="1315"/>
      <c r="HU13" s="1315"/>
      <c r="HV13" s="1315"/>
      <c r="HW13" s="1315"/>
      <c r="HX13" s="1315"/>
      <c r="HY13" s="1315"/>
      <c r="HZ13" s="1315"/>
      <c r="IA13" s="1315"/>
      <c r="IB13" s="1315"/>
      <c r="IC13" s="1315"/>
      <c r="ID13" s="1315"/>
      <c r="IE13" s="1315"/>
      <c r="IF13" s="1315"/>
      <c r="IG13" s="1315"/>
      <c r="IH13" s="1315"/>
      <c r="II13" s="1315"/>
      <c r="IJ13" s="1315"/>
    </row>
    <row r="14" spans="1:244" s="53" customFormat="1" ht="12" x14ac:dyDescent="0.2">
      <c r="A14" s="444">
        <v>3</v>
      </c>
      <c r="B14" s="1312">
        <v>2553</v>
      </c>
      <c r="C14" s="1313">
        <v>12000</v>
      </c>
      <c r="D14" s="1313">
        <f t="shared" si="63"/>
        <v>12480</v>
      </c>
      <c r="E14" s="1313">
        <f t="shared" si="10"/>
        <v>13017</v>
      </c>
      <c r="F14" s="1313">
        <f t="shared" si="10"/>
        <v>13408</v>
      </c>
      <c r="G14" s="1313">
        <f t="shared" si="10"/>
        <v>13905</v>
      </c>
      <c r="H14" s="1313">
        <f t="shared" si="10"/>
        <v>14462</v>
      </c>
      <c r="I14" s="1313">
        <f t="shared" si="10"/>
        <v>15041</v>
      </c>
      <c r="J14" s="1314">
        <f t="shared" si="10"/>
        <v>15643</v>
      </c>
      <c r="K14" s="1314" t="e">
        <f t="shared" si="10"/>
        <v>#N/A</v>
      </c>
      <c r="L14" s="1314" t="e">
        <f t="shared" si="10"/>
        <v>#N/A</v>
      </c>
      <c r="M14" s="1314" t="e">
        <f t="shared" si="10"/>
        <v>#N/A</v>
      </c>
      <c r="N14" s="1314" t="e">
        <f t="shared" si="10"/>
        <v>#N/A</v>
      </c>
      <c r="O14" s="1314" t="e">
        <f t="shared" si="10"/>
        <v>#N/A</v>
      </c>
      <c r="P14" s="1314" t="e">
        <f t="shared" si="10"/>
        <v>#N/A</v>
      </c>
      <c r="Q14" s="1314" t="e">
        <f t="shared" si="10"/>
        <v>#N/A</v>
      </c>
      <c r="R14" s="1314" t="e">
        <f t="shared" si="10"/>
        <v>#N/A</v>
      </c>
      <c r="S14" s="1314" t="e">
        <f t="shared" si="10"/>
        <v>#N/A</v>
      </c>
      <c r="T14" s="1314" t="e">
        <f t="shared" si="10"/>
        <v>#N/A</v>
      </c>
      <c r="U14" s="1314" t="e">
        <f t="shared" si="10"/>
        <v>#N/A</v>
      </c>
      <c r="V14" s="1314" t="e">
        <f t="shared" si="10"/>
        <v>#N/A</v>
      </c>
      <c r="W14" s="1314" t="e">
        <f t="shared" si="10"/>
        <v>#N/A</v>
      </c>
      <c r="X14" s="1314" t="e">
        <f t="shared" si="10"/>
        <v>#N/A</v>
      </c>
      <c r="Y14" s="1314" t="e">
        <f t="shared" si="10"/>
        <v>#N/A</v>
      </c>
      <c r="Z14" s="1314" t="e">
        <f t="shared" si="11"/>
        <v>#N/A</v>
      </c>
      <c r="AA14" s="1314" t="e">
        <f t="shared" si="12"/>
        <v>#N/A</v>
      </c>
      <c r="AB14" s="1314" t="e">
        <f t="shared" si="13"/>
        <v>#N/A</v>
      </c>
      <c r="AC14" s="1314" t="e">
        <f t="shared" si="14"/>
        <v>#N/A</v>
      </c>
      <c r="AD14" s="1314" t="e">
        <f t="shared" si="15"/>
        <v>#N/A</v>
      </c>
      <c r="AE14" s="1314" t="e">
        <f t="shared" si="16"/>
        <v>#N/A</v>
      </c>
      <c r="AF14" s="1314" t="e">
        <f t="shared" si="17"/>
        <v>#N/A</v>
      </c>
      <c r="AG14" s="1314" t="e">
        <f t="shared" si="18"/>
        <v>#N/A</v>
      </c>
      <c r="AH14" s="1314" t="e">
        <f t="shared" si="19"/>
        <v>#N/A</v>
      </c>
      <c r="AI14" s="1314" t="e">
        <f t="shared" si="20"/>
        <v>#N/A</v>
      </c>
      <c r="AJ14" s="1314" t="e">
        <f t="shared" si="21"/>
        <v>#N/A</v>
      </c>
      <c r="AK14" s="1314" t="e">
        <f t="shared" si="22"/>
        <v>#N/A</v>
      </c>
      <c r="AL14" s="1314" t="e">
        <f t="shared" si="23"/>
        <v>#N/A</v>
      </c>
      <c r="AM14" s="1314" t="e">
        <f t="shared" si="24"/>
        <v>#N/A</v>
      </c>
      <c r="AN14" s="1314" t="e">
        <f t="shared" si="25"/>
        <v>#N/A</v>
      </c>
      <c r="AO14" s="1314" t="e">
        <f t="shared" si="26"/>
        <v>#N/A</v>
      </c>
      <c r="AP14" s="1314" t="e">
        <f t="shared" si="27"/>
        <v>#N/A</v>
      </c>
      <c r="AQ14" s="1314" t="e">
        <f t="shared" si="28"/>
        <v>#N/A</v>
      </c>
      <c r="AR14" s="1314" t="e">
        <f t="shared" si="29"/>
        <v>#N/A</v>
      </c>
      <c r="AS14" s="1314" t="e">
        <f t="shared" si="30"/>
        <v>#N/A</v>
      </c>
      <c r="AT14" s="1314" t="e">
        <f t="shared" si="31"/>
        <v>#N/A</v>
      </c>
      <c r="AU14" s="1314" t="e">
        <f t="shared" si="32"/>
        <v>#N/A</v>
      </c>
      <c r="AV14" s="1314" t="e">
        <f t="shared" si="33"/>
        <v>#N/A</v>
      </c>
      <c r="AW14" s="1314" t="e">
        <f t="shared" si="34"/>
        <v>#N/A</v>
      </c>
      <c r="AX14" s="1314" t="e">
        <f t="shared" si="35"/>
        <v>#N/A</v>
      </c>
      <c r="AY14" s="1314" t="e">
        <f t="shared" si="36"/>
        <v>#N/A</v>
      </c>
      <c r="AZ14" s="1314" t="e">
        <f t="shared" si="37"/>
        <v>#N/A</v>
      </c>
      <c r="BA14" s="1314" t="e">
        <f t="shared" si="38"/>
        <v>#N/A</v>
      </c>
      <c r="BB14" s="1314" t="e">
        <f t="shared" si="39"/>
        <v>#N/A</v>
      </c>
      <c r="BC14" s="1314" t="e">
        <f t="shared" si="40"/>
        <v>#N/A</v>
      </c>
      <c r="BD14" s="1314" t="e">
        <f t="shared" si="41"/>
        <v>#N/A</v>
      </c>
      <c r="BE14" s="1314" t="e">
        <f t="shared" si="42"/>
        <v>#N/A</v>
      </c>
      <c r="BF14" s="1314" t="e">
        <f t="shared" si="43"/>
        <v>#N/A</v>
      </c>
      <c r="BG14" s="1314" t="e">
        <f t="shared" si="44"/>
        <v>#N/A</v>
      </c>
      <c r="BH14" s="1314" t="e">
        <f t="shared" si="45"/>
        <v>#N/A</v>
      </c>
      <c r="BI14" s="1314" t="e">
        <f t="shared" si="46"/>
        <v>#N/A</v>
      </c>
      <c r="BJ14" s="1314" t="e">
        <f t="shared" si="47"/>
        <v>#N/A</v>
      </c>
      <c r="BK14" s="1314" t="e">
        <f t="shared" si="48"/>
        <v>#N/A</v>
      </c>
      <c r="BL14" s="1314" t="e">
        <f t="shared" si="49"/>
        <v>#N/A</v>
      </c>
      <c r="BM14" s="1314" t="e">
        <f t="shared" si="50"/>
        <v>#N/A</v>
      </c>
      <c r="BN14" s="1314" t="e">
        <f t="shared" si="51"/>
        <v>#N/A</v>
      </c>
      <c r="BO14" s="1314" t="e">
        <f t="shared" si="52"/>
        <v>#N/A</v>
      </c>
      <c r="BP14" s="1314" t="e">
        <f t="shared" si="53"/>
        <v>#N/A</v>
      </c>
      <c r="BQ14" s="1314" t="e">
        <f t="shared" si="54"/>
        <v>#N/A</v>
      </c>
      <c r="BR14" s="1314" t="e">
        <f t="shared" si="55"/>
        <v>#N/A</v>
      </c>
      <c r="BS14" s="1314" t="e">
        <f t="shared" si="56"/>
        <v>#N/A</v>
      </c>
      <c r="BT14" s="1314" t="e">
        <f t="shared" si="57"/>
        <v>#N/A</v>
      </c>
      <c r="BU14" s="1314" t="e">
        <f t="shared" si="58"/>
        <v>#N/A</v>
      </c>
      <c r="BV14" s="1314" t="e">
        <f t="shared" si="59"/>
        <v>#N/A</v>
      </c>
      <c r="BW14" s="1314" t="e">
        <f t="shared" si="60"/>
        <v>#N/A</v>
      </c>
      <c r="BX14" s="1314" t="e">
        <f t="shared" si="61"/>
        <v>#N/A</v>
      </c>
      <c r="BY14" s="1314" t="e">
        <f t="shared" si="62"/>
        <v>#N/A</v>
      </c>
      <c r="BZ14" s="1315"/>
      <c r="CA14" s="1315"/>
      <c r="CB14" s="1315"/>
      <c r="CC14" s="1315"/>
      <c r="CD14" s="1315"/>
      <c r="CE14" s="1315"/>
      <c r="CF14" s="1315"/>
      <c r="CG14" s="1315"/>
      <c r="CH14" s="1315"/>
      <c r="CI14" s="1315"/>
      <c r="CJ14" s="1315"/>
      <c r="CK14" s="1315"/>
      <c r="CL14" s="1315"/>
      <c r="CM14" s="1315"/>
      <c r="CN14" s="1315"/>
      <c r="CO14" s="1315"/>
      <c r="CP14" s="1315"/>
      <c r="CQ14" s="1315"/>
      <c r="CR14" s="1315"/>
      <c r="CS14" s="1315"/>
      <c r="CT14" s="1315"/>
      <c r="CU14" s="1315"/>
      <c r="CV14" s="1315"/>
      <c r="CW14" s="1315"/>
      <c r="CX14" s="1315"/>
      <c r="CY14" s="1315"/>
      <c r="CZ14" s="1315"/>
      <c r="DA14" s="1315"/>
      <c r="DB14" s="1315"/>
      <c r="DC14" s="1315"/>
      <c r="DD14" s="1315"/>
      <c r="DE14" s="1315"/>
      <c r="DF14" s="1315"/>
      <c r="DG14" s="1315"/>
      <c r="DH14" s="1315"/>
      <c r="DI14" s="1315"/>
      <c r="DJ14" s="1315"/>
      <c r="DK14" s="1315"/>
      <c r="DL14" s="1315"/>
      <c r="DM14" s="1315"/>
      <c r="DN14" s="1315"/>
      <c r="DO14" s="1315"/>
      <c r="DP14" s="1315"/>
      <c r="DQ14" s="1315"/>
      <c r="DR14" s="1315"/>
      <c r="DS14" s="1315"/>
      <c r="DT14" s="1315"/>
      <c r="DU14" s="1315"/>
      <c r="DV14" s="1315"/>
      <c r="DW14" s="1315"/>
      <c r="DX14" s="1315"/>
      <c r="DY14" s="1315"/>
      <c r="DZ14" s="1315"/>
      <c r="EA14" s="1315"/>
      <c r="EB14" s="1315"/>
      <c r="EC14" s="1315"/>
      <c r="ED14" s="1315"/>
      <c r="EE14" s="1315"/>
      <c r="EF14" s="1315"/>
      <c r="EG14" s="1315"/>
      <c r="EH14" s="1315"/>
      <c r="EI14" s="1315"/>
      <c r="EJ14" s="1315"/>
      <c r="EK14" s="1315"/>
      <c r="EL14" s="1315"/>
      <c r="EM14" s="1315"/>
      <c r="EN14" s="1315"/>
      <c r="EO14" s="1315"/>
      <c r="EP14" s="1315"/>
      <c r="EQ14" s="1315"/>
      <c r="ER14" s="1315"/>
      <c r="ES14" s="1315"/>
      <c r="ET14" s="1315"/>
      <c r="EU14" s="1315"/>
      <c r="EV14" s="1315"/>
      <c r="EW14" s="1315"/>
      <c r="EX14" s="1315"/>
      <c r="EY14" s="1315"/>
      <c r="EZ14" s="1315"/>
      <c r="FA14" s="1315"/>
      <c r="FB14" s="1315"/>
      <c r="FC14" s="1315"/>
      <c r="FD14" s="1315"/>
      <c r="FE14" s="1315"/>
      <c r="FF14" s="1315"/>
      <c r="FG14" s="1315"/>
      <c r="FH14" s="1315"/>
      <c r="FI14" s="1315"/>
      <c r="FJ14" s="1315"/>
      <c r="FK14" s="1315"/>
      <c r="FL14" s="1315"/>
      <c r="FM14" s="1315"/>
      <c r="FN14" s="1315"/>
      <c r="FO14" s="1315"/>
      <c r="FP14" s="1315"/>
      <c r="FQ14" s="1315"/>
      <c r="FR14" s="1315"/>
      <c r="FS14" s="1315"/>
      <c r="FT14" s="1315"/>
      <c r="FU14" s="1315"/>
      <c r="FV14" s="1315"/>
      <c r="FW14" s="1315"/>
      <c r="FX14" s="1315"/>
      <c r="FY14" s="1315"/>
      <c r="FZ14" s="1315"/>
      <c r="GA14" s="1315"/>
      <c r="GB14" s="1315"/>
      <c r="GC14" s="1315"/>
      <c r="GD14" s="1315"/>
      <c r="GE14" s="1315"/>
      <c r="GF14" s="1315"/>
      <c r="GG14" s="1315"/>
      <c r="GH14" s="1315"/>
      <c r="GI14" s="1315"/>
      <c r="GJ14" s="1315"/>
      <c r="GK14" s="1315"/>
      <c r="GL14" s="1315"/>
      <c r="GM14" s="1315"/>
      <c r="GN14" s="1315"/>
      <c r="GO14" s="1315"/>
      <c r="GP14" s="1315"/>
      <c r="GQ14" s="1315"/>
      <c r="GR14" s="1315"/>
      <c r="GS14" s="1315"/>
      <c r="GT14" s="1315"/>
      <c r="GU14" s="1315"/>
      <c r="GV14" s="1315"/>
      <c r="GW14" s="1315"/>
      <c r="GX14" s="1315"/>
      <c r="GY14" s="1315"/>
      <c r="GZ14" s="1315"/>
      <c r="HA14" s="1315"/>
      <c r="HB14" s="1315"/>
      <c r="HC14" s="1315"/>
      <c r="HD14" s="1315"/>
      <c r="HE14" s="1315"/>
      <c r="HF14" s="1315"/>
      <c r="HG14" s="1315"/>
      <c r="HH14" s="1315"/>
      <c r="HI14" s="1315"/>
      <c r="HJ14" s="1315"/>
      <c r="HK14" s="1315"/>
      <c r="HL14" s="1315"/>
      <c r="HM14" s="1315"/>
      <c r="HN14" s="1315"/>
      <c r="HO14" s="1315"/>
      <c r="HP14" s="1315"/>
      <c r="HQ14" s="1315"/>
      <c r="HR14" s="1315"/>
      <c r="HS14" s="1315"/>
      <c r="HT14" s="1315"/>
      <c r="HU14" s="1315"/>
      <c r="HV14" s="1315"/>
      <c r="HW14" s="1315"/>
      <c r="HX14" s="1315"/>
      <c r="HY14" s="1315"/>
      <c r="HZ14" s="1315"/>
      <c r="IA14" s="1315"/>
      <c r="IB14" s="1315"/>
      <c r="IC14" s="1315"/>
      <c r="ID14" s="1315"/>
      <c r="IE14" s="1315"/>
      <c r="IF14" s="1315"/>
      <c r="IG14" s="1315"/>
      <c r="IH14" s="1315"/>
      <c r="II14" s="1315"/>
      <c r="IJ14" s="1315"/>
    </row>
    <row r="15" spans="1:244" s="53" customFormat="1" ht="12" x14ac:dyDescent="0.2">
      <c r="A15" s="444">
        <v>4</v>
      </c>
      <c r="B15" s="1312">
        <v>2663</v>
      </c>
      <c r="C15" s="1313">
        <v>13000</v>
      </c>
      <c r="D15" s="1313">
        <f t="shared" si="63"/>
        <v>13520</v>
      </c>
      <c r="E15" s="1313">
        <f t="shared" si="10"/>
        <v>14102</v>
      </c>
      <c r="F15" s="1313">
        <f t="shared" si="10"/>
        <v>14526</v>
      </c>
      <c r="G15" s="1313">
        <f t="shared" si="10"/>
        <v>15064</v>
      </c>
      <c r="H15" s="1313">
        <f t="shared" si="10"/>
        <v>15667</v>
      </c>
      <c r="I15" s="1313">
        <f t="shared" si="10"/>
        <v>16294</v>
      </c>
      <c r="J15" s="1314">
        <f t="shared" si="10"/>
        <v>16946</v>
      </c>
      <c r="K15" s="1314" t="e">
        <f t="shared" si="10"/>
        <v>#N/A</v>
      </c>
      <c r="L15" s="1314" t="e">
        <f t="shared" si="10"/>
        <v>#N/A</v>
      </c>
      <c r="M15" s="1314" t="e">
        <f t="shared" si="10"/>
        <v>#N/A</v>
      </c>
      <c r="N15" s="1314" t="e">
        <f t="shared" si="10"/>
        <v>#N/A</v>
      </c>
      <c r="O15" s="1314" t="e">
        <f t="shared" si="10"/>
        <v>#N/A</v>
      </c>
      <c r="P15" s="1314" t="e">
        <f t="shared" si="10"/>
        <v>#N/A</v>
      </c>
      <c r="Q15" s="1314" t="e">
        <f t="shared" si="10"/>
        <v>#N/A</v>
      </c>
      <c r="R15" s="1314" t="e">
        <f t="shared" si="10"/>
        <v>#N/A</v>
      </c>
      <c r="S15" s="1314" t="e">
        <f t="shared" si="10"/>
        <v>#N/A</v>
      </c>
      <c r="T15" s="1314" t="e">
        <f t="shared" si="10"/>
        <v>#N/A</v>
      </c>
      <c r="U15" s="1314" t="e">
        <f t="shared" si="10"/>
        <v>#N/A</v>
      </c>
      <c r="V15" s="1314" t="e">
        <f t="shared" si="10"/>
        <v>#N/A</v>
      </c>
      <c r="W15" s="1314" t="e">
        <f t="shared" si="10"/>
        <v>#N/A</v>
      </c>
      <c r="X15" s="1314" t="e">
        <f t="shared" si="10"/>
        <v>#N/A</v>
      </c>
      <c r="Y15" s="1314" t="e">
        <f t="shared" si="10"/>
        <v>#N/A</v>
      </c>
      <c r="Z15" s="1314" t="e">
        <f t="shared" si="11"/>
        <v>#N/A</v>
      </c>
      <c r="AA15" s="1314" t="e">
        <f t="shared" si="12"/>
        <v>#N/A</v>
      </c>
      <c r="AB15" s="1314" t="e">
        <f t="shared" si="13"/>
        <v>#N/A</v>
      </c>
      <c r="AC15" s="1314" t="e">
        <f t="shared" si="14"/>
        <v>#N/A</v>
      </c>
      <c r="AD15" s="1314" t="e">
        <f t="shared" si="15"/>
        <v>#N/A</v>
      </c>
      <c r="AE15" s="1314" t="e">
        <f t="shared" si="16"/>
        <v>#N/A</v>
      </c>
      <c r="AF15" s="1314" t="e">
        <f t="shared" si="17"/>
        <v>#N/A</v>
      </c>
      <c r="AG15" s="1314" t="e">
        <f t="shared" si="18"/>
        <v>#N/A</v>
      </c>
      <c r="AH15" s="1314" t="e">
        <f t="shared" si="19"/>
        <v>#N/A</v>
      </c>
      <c r="AI15" s="1314" t="e">
        <f t="shared" si="20"/>
        <v>#N/A</v>
      </c>
      <c r="AJ15" s="1314" t="e">
        <f t="shared" si="21"/>
        <v>#N/A</v>
      </c>
      <c r="AK15" s="1314" t="e">
        <f t="shared" si="22"/>
        <v>#N/A</v>
      </c>
      <c r="AL15" s="1314" t="e">
        <f t="shared" si="23"/>
        <v>#N/A</v>
      </c>
      <c r="AM15" s="1314" t="e">
        <f t="shared" si="24"/>
        <v>#N/A</v>
      </c>
      <c r="AN15" s="1314" t="e">
        <f t="shared" si="25"/>
        <v>#N/A</v>
      </c>
      <c r="AO15" s="1314" t="e">
        <f t="shared" si="26"/>
        <v>#N/A</v>
      </c>
      <c r="AP15" s="1314" t="e">
        <f t="shared" si="27"/>
        <v>#N/A</v>
      </c>
      <c r="AQ15" s="1314" t="e">
        <f t="shared" si="28"/>
        <v>#N/A</v>
      </c>
      <c r="AR15" s="1314" t="e">
        <f t="shared" si="29"/>
        <v>#N/A</v>
      </c>
      <c r="AS15" s="1314" t="e">
        <f t="shared" si="30"/>
        <v>#N/A</v>
      </c>
      <c r="AT15" s="1314" t="e">
        <f t="shared" si="31"/>
        <v>#N/A</v>
      </c>
      <c r="AU15" s="1314" t="e">
        <f t="shared" si="32"/>
        <v>#N/A</v>
      </c>
      <c r="AV15" s="1314" t="e">
        <f t="shared" si="33"/>
        <v>#N/A</v>
      </c>
      <c r="AW15" s="1314" t="e">
        <f t="shared" si="34"/>
        <v>#N/A</v>
      </c>
      <c r="AX15" s="1314" t="e">
        <f t="shared" si="35"/>
        <v>#N/A</v>
      </c>
      <c r="AY15" s="1314" t="e">
        <f t="shared" si="36"/>
        <v>#N/A</v>
      </c>
      <c r="AZ15" s="1314" t="e">
        <f t="shared" si="37"/>
        <v>#N/A</v>
      </c>
      <c r="BA15" s="1314" t="e">
        <f t="shared" si="38"/>
        <v>#N/A</v>
      </c>
      <c r="BB15" s="1314" t="e">
        <f t="shared" si="39"/>
        <v>#N/A</v>
      </c>
      <c r="BC15" s="1314" t="e">
        <f t="shared" si="40"/>
        <v>#N/A</v>
      </c>
      <c r="BD15" s="1314" t="e">
        <f t="shared" si="41"/>
        <v>#N/A</v>
      </c>
      <c r="BE15" s="1314" t="e">
        <f t="shared" si="42"/>
        <v>#N/A</v>
      </c>
      <c r="BF15" s="1314" t="e">
        <f t="shared" si="43"/>
        <v>#N/A</v>
      </c>
      <c r="BG15" s="1314" t="e">
        <f t="shared" si="44"/>
        <v>#N/A</v>
      </c>
      <c r="BH15" s="1314" t="e">
        <f t="shared" si="45"/>
        <v>#N/A</v>
      </c>
      <c r="BI15" s="1314" t="e">
        <f t="shared" si="46"/>
        <v>#N/A</v>
      </c>
      <c r="BJ15" s="1314" t="e">
        <f t="shared" si="47"/>
        <v>#N/A</v>
      </c>
      <c r="BK15" s="1314" t="e">
        <f t="shared" si="48"/>
        <v>#N/A</v>
      </c>
      <c r="BL15" s="1314" t="e">
        <f t="shared" si="49"/>
        <v>#N/A</v>
      </c>
      <c r="BM15" s="1314" t="e">
        <f t="shared" si="50"/>
        <v>#N/A</v>
      </c>
      <c r="BN15" s="1314" t="e">
        <f t="shared" si="51"/>
        <v>#N/A</v>
      </c>
      <c r="BO15" s="1314" t="e">
        <f t="shared" si="52"/>
        <v>#N/A</v>
      </c>
      <c r="BP15" s="1314" t="e">
        <f t="shared" si="53"/>
        <v>#N/A</v>
      </c>
      <c r="BQ15" s="1314" t="e">
        <f t="shared" si="54"/>
        <v>#N/A</v>
      </c>
      <c r="BR15" s="1314" t="e">
        <f t="shared" si="55"/>
        <v>#N/A</v>
      </c>
      <c r="BS15" s="1314" t="e">
        <f t="shared" si="56"/>
        <v>#N/A</v>
      </c>
      <c r="BT15" s="1314" t="e">
        <f t="shared" si="57"/>
        <v>#N/A</v>
      </c>
      <c r="BU15" s="1314" t="e">
        <f t="shared" si="58"/>
        <v>#N/A</v>
      </c>
      <c r="BV15" s="1314" t="e">
        <f t="shared" si="59"/>
        <v>#N/A</v>
      </c>
      <c r="BW15" s="1314" t="e">
        <f t="shared" si="60"/>
        <v>#N/A</v>
      </c>
      <c r="BX15" s="1314" t="e">
        <f t="shared" si="61"/>
        <v>#N/A</v>
      </c>
      <c r="BY15" s="1314" t="e">
        <f t="shared" si="62"/>
        <v>#N/A</v>
      </c>
      <c r="BZ15" s="1315"/>
      <c r="CA15" s="1315"/>
      <c r="CB15" s="1315"/>
      <c r="CC15" s="1315"/>
      <c r="CD15" s="1315"/>
      <c r="CE15" s="1315"/>
      <c r="CF15" s="1315"/>
      <c r="CG15" s="1315"/>
      <c r="CH15" s="1315"/>
      <c r="CI15" s="1315"/>
      <c r="CJ15" s="1315"/>
      <c r="CK15" s="1315"/>
      <c r="CL15" s="1315"/>
      <c r="CM15" s="1315"/>
      <c r="CN15" s="1315"/>
      <c r="CO15" s="1315"/>
      <c r="CP15" s="1315"/>
      <c r="CQ15" s="1315"/>
      <c r="CR15" s="1315"/>
      <c r="CS15" s="1315"/>
      <c r="CT15" s="1315"/>
      <c r="CU15" s="1315"/>
      <c r="CV15" s="1315"/>
      <c r="CW15" s="1315"/>
      <c r="CX15" s="1315"/>
      <c r="CY15" s="1315"/>
      <c r="CZ15" s="1315"/>
      <c r="DA15" s="1315"/>
      <c r="DB15" s="1315"/>
      <c r="DC15" s="1315"/>
      <c r="DD15" s="1315"/>
      <c r="DE15" s="1315"/>
      <c r="DF15" s="1315"/>
      <c r="DG15" s="1315"/>
      <c r="DH15" s="1315"/>
      <c r="DI15" s="1315"/>
      <c r="DJ15" s="1315"/>
      <c r="DK15" s="1315"/>
      <c r="DL15" s="1315"/>
      <c r="DM15" s="1315"/>
      <c r="DN15" s="1315"/>
      <c r="DO15" s="1315"/>
      <c r="DP15" s="1315"/>
      <c r="DQ15" s="1315"/>
      <c r="DR15" s="1315"/>
      <c r="DS15" s="1315"/>
      <c r="DT15" s="1315"/>
      <c r="DU15" s="1315"/>
      <c r="DV15" s="1315"/>
      <c r="DW15" s="1315"/>
      <c r="DX15" s="1315"/>
      <c r="DY15" s="1315"/>
      <c r="DZ15" s="1315"/>
      <c r="EA15" s="1315"/>
      <c r="EB15" s="1315"/>
      <c r="EC15" s="1315"/>
      <c r="ED15" s="1315"/>
      <c r="EE15" s="1315"/>
      <c r="EF15" s="1315"/>
      <c r="EG15" s="1315"/>
      <c r="EH15" s="1315"/>
      <c r="EI15" s="1315"/>
      <c r="EJ15" s="1315"/>
      <c r="EK15" s="1315"/>
      <c r="EL15" s="1315"/>
      <c r="EM15" s="1315"/>
      <c r="EN15" s="1315"/>
      <c r="EO15" s="1315"/>
      <c r="EP15" s="1315"/>
      <c r="EQ15" s="1315"/>
      <c r="ER15" s="1315"/>
      <c r="ES15" s="1315"/>
      <c r="ET15" s="1315"/>
      <c r="EU15" s="1315"/>
      <c r="EV15" s="1315"/>
      <c r="EW15" s="1315"/>
      <c r="EX15" s="1315"/>
      <c r="EY15" s="1315"/>
      <c r="EZ15" s="1315"/>
      <c r="FA15" s="1315"/>
      <c r="FB15" s="1315"/>
      <c r="FC15" s="1315"/>
      <c r="FD15" s="1315"/>
      <c r="FE15" s="1315"/>
      <c r="FF15" s="1315"/>
      <c r="FG15" s="1315"/>
      <c r="FH15" s="1315"/>
      <c r="FI15" s="1315"/>
      <c r="FJ15" s="1315"/>
      <c r="FK15" s="1315"/>
      <c r="FL15" s="1315"/>
      <c r="FM15" s="1315"/>
      <c r="FN15" s="1315"/>
      <c r="FO15" s="1315"/>
      <c r="FP15" s="1315"/>
      <c r="FQ15" s="1315"/>
      <c r="FR15" s="1315"/>
      <c r="FS15" s="1315"/>
      <c r="FT15" s="1315"/>
      <c r="FU15" s="1315"/>
      <c r="FV15" s="1315"/>
      <c r="FW15" s="1315"/>
      <c r="FX15" s="1315"/>
      <c r="FY15" s="1315"/>
      <c r="FZ15" s="1315"/>
      <c r="GA15" s="1315"/>
      <c r="GB15" s="1315"/>
      <c r="GC15" s="1315"/>
      <c r="GD15" s="1315"/>
      <c r="GE15" s="1315"/>
      <c r="GF15" s="1315"/>
      <c r="GG15" s="1315"/>
      <c r="GH15" s="1315"/>
      <c r="GI15" s="1315"/>
      <c r="GJ15" s="1315"/>
      <c r="GK15" s="1315"/>
      <c r="GL15" s="1315"/>
      <c r="GM15" s="1315"/>
      <c r="GN15" s="1315"/>
      <c r="GO15" s="1315"/>
      <c r="GP15" s="1315"/>
      <c r="GQ15" s="1315"/>
      <c r="GR15" s="1315"/>
      <c r="GS15" s="1315"/>
      <c r="GT15" s="1315"/>
      <c r="GU15" s="1315"/>
      <c r="GV15" s="1315"/>
      <c r="GW15" s="1315"/>
      <c r="GX15" s="1315"/>
      <c r="GY15" s="1315"/>
      <c r="GZ15" s="1315"/>
      <c r="HA15" s="1315"/>
      <c r="HB15" s="1315"/>
      <c r="HC15" s="1315"/>
      <c r="HD15" s="1315"/>
      <c r="HE15" s="1315"/>
      <c r="HF15" s="1315"/>
      <c r="HG15" s="1315"/>
      <c r="HH15" s="1315"/>
      <c r="HI15" s="1315"/>
      <c r="HJ15" s="1315"/>
      <c r="HK15" s="1315"/>
      <c r="HL15" s="1315"/>
      <c r="HM15" s="1315"/>
      <c r="HN15" s="1315"/>
      <c r="HO15" s="1315"/>
      <c r="HP15" s="1315"/>
      <c r="HQ15" s="1315"/>
      <c r="HR15" s="1315"/>
      <c r="HS15" s="1315"/>
      <c r="HT15" s="1315"/>
      <c r="HU15" s="1315"/>
      <c r="HV15" s="1315"/>
      <c r="HW15" s="1315"/>
      <c r="HX15" s="1315"/>
      <c r="HY15" s="1315"/>
      <c r="HZ15" s="1315"/>
      <c r="IA15" s="1315"/>
      <c r="IB15" s="1315"/>
      <c r="IC15" s="1315"/>
      <c r="ID15" s="1315"/>
      <c r="IE15" s="1315"/>
      <c r="IF15" s="1315"/>
      <c r="IG15" s="1315"/>
      <c r="IH15" s="1315"/>
      <c r="II15" s="1315"/>
      <c r="IJ15" s="1315"/>
    </row>
    <row r="16" spans="1:244" s="53" customFormat="1" ht="12" x14ac:dyDescent="0.2">
      <c r="A16" s="444">
        <v>5</v>
      </c>
      <c r="B16" s="1312">
        <v>2776</v>
      </c>
      <c r="C16" s="1313">
        <v>15000</v>
      </c>
      <c r="D16" s="1313">
        <f t="shared" si="63"/>
        <v>15600</v>
      </c>
      <c r="E16" s="1313">
        <f t="shared" si="10"/>
        <v>16271</v>
      </c>
      <c r="F16" s="1313">
        <f t="shared" si="10"/>
        <v>16760</v>
      </c>
      <c r="G16" s="1313">
        <f t="shared" si="10"/>
        <v>17381</v>
      </c>
      <c r="H16" s="1313">
        <f t="shared" si="10"/>
        <v>18077</v>
      </c>
      <c r="I16" s="1313">
        <f t="shared" si="10"/>
        <v>18801</v>
      </c>
      <c r="J16" s="1314">
        <f t="shared" si="10"/>
        <v>19554</v>
      </c>
      <c r="K16" s="1314" t="e">
        <f t="shared" si="10"/>
        <v>#N/A</v>
      </c>
      <c r="L16" s="1314" t="e">
        <f t="shared" si="10"/>
        <v>#N/A</v>
      </c>
      <c r="M16" s="1314" t="e">
        <f t="shared" si="10"/>
        <v>#N/A</v>
      </c>
      <c r="N16" s="1314" t="e">
        <f t="shared" si="10"/>
        <v>#N/A</v>
      </c>
      <c r="O16" s="1314" t="e">
        <f t="shared" si="10"/>
        <v>#N/A</v>
      </c>
      <c r="P16" s="1314" t="e">
        <f t="shared" si="10"/>
        <v>#N/A</v>
      </c>
      <c r="Q16" s="1314" t="e">
        <f t="shared" si="10"/>
        <v>#N/A</v>
      </c>
      <c r="R16" s="1314" t="e">
        <f t="shared" si="10"/>
        <v>#N/A</v>
      </c>
      <c r="S16" s="1314" t="e">
        <f t="shared" si="10"/>
        <v>#N/A</v>
      </c>
      <c r="T16" s="1314" t="e">
        <f t="shared" si="10"/>
        <v>#N/A</v>
      </c>
      <c r="U16" s="1314" t="e">
        <f t="shared" si="10"/>
        <v>#N/A</v>
      </c>
      <c r="V16" s="1314" t="e">
        <f t="shared" si="10"/>
        <v>#N/A</v>
      </c>
      <c r="W16" s="1314" t="e">
        <f t="shared" si="10"/>
        <v>#N/A</v>
      </c>
      <c r="X16" s="1314" t="e">
        <f t="shared" si="10"/>
        <v>#N/A</v>
      </c>
      <c r="Y16" s="1314" t="e">
        <f t="shared" si="10"/>
        <v>#N/A</v>
      </c>
      <c r="Z16" s="1314" t="e">
        <f t="shared" si="11"/>
        <v>#N/A</v>
      </c>
      <c r="AA16" s="1314" t="e">
        <f t="shared" si="12"/>
        <v>#N/A</v>
      </c>
      <c r="AB16" s="1314" t="e">
        <f t="shared" si="13"/>
        <v>#N/A</v>
      </c>
      <c r="AC16" s="1314" t="e">
        <f t="shared" si="14"/>
        <v>#N/A</v>
      </c>
      <c r="AD16" s="1314" t="e">
        <f t="shared" si="15"/>
        <v>#N/A</v>
      </c>
      <c r="AE16" s="1314" t="e">
        <f t="shared" si="16"/>
        <v>#N/A</v>
      </c>
      <c r="AF16" s="1314" t="e">
        <f t="shared" si="17"/>
        <v>#N/A</v>
      </c>
      <c r="AG16" s="1314" t="e">
        <f t="shared" si="18"/>
        <v>#N/A</v>
      </c>
      <c r="AH16" s="1314" t="e">
        <f t="shared" si="19"/>
        <v>#N/A</v>
      </c>
      <c r="AI16" s="1314" t="e">
        <f t="shared" si="20"/>
        <v>#N/A</v>
      </c>
      <c r="AJ16" s="1314" t="e">
        <f t="shared" si="21"/>
        <v>#N/A</v>
      </c>
      <c r="AK16" s="1314" t="e">
        <f t="shared" si="22"/>
        <v>#N/A</v>
      </c>
      <c r="AL16" s="1314" t="e">
        <f t="shared" si="23"/>
        <v>#N/A</v>
      </c>
      <c r="AM16" s="1314" t="e">
        <f t="shared" si="24"/>
        <v>#N/A</v>
      </c>
      <c r="AN16" s="1314" t="e">
        <f t="shared" si="25"/>
        <v>#N/A</v>
      </c>
      <c r="AO16" s="1314" t="e">
        <f t="shared" si="26"/>
        <v>#N/A</v>
      </c>
      <c r="AP16" s="1314" t="e">
        <f t="shared" si="27"/>
        <v>#N/A</v>
      </c>
      <c r="AQ16" s="1314" t="e">
        <f t="shared" si="28"/>
        <v>#N/A</v>
      </c>
      <c r="AR16" s="1314" t="e">
        <f t="shared" si="29"/>
        <v>#N/A</v>
      </c>
      <c r="AS16" s="1314" t="e">
        <f t="shared" si="30"/>
        <v>#N/A</v>
      </c>
      <c r="AT16" s="1314" t="e">
        <f t="shared" si="31"/>
        <v>#N/A</v>
      </c>
      <c r="AU16" s="1314" t="e">
        <f t="shared" si="32"/>
        <v>#N/A</v>
      </c>
      <c r="AV16" s="1314" t="e">
        <f t="shared" si="33"/>
        <v>#N/A</v>
      </c>
      <c r="AW16" s="1314" t="e">
        <f t="shared" si="34"/>
        <v>#N/A</v>
      </c>
      <c r="AX16" s="1314" t="e">
        <f t="shared" si="35"/>
        <v>#N/A</v>
      </c>
      <c r="AY16" s="1314" t="e">
        <f t="shared" si="36"/>
        <v>#N/A</v>
      </c>
      <c r="AZ16" s="1314" t="e">
        <f t="shared" si="37"/>
        <v>#N/A</v>
      </c>
      <c r="BA16" s="1314" t="e">
        <f t="shared" si="38"/>
        <v>#N/A</v>
      </c>
      <c r="BB16" s="1314" t="e">
        <f t="shared" si="39"/>
        <v>#N/A</v>
      </c>
      <c r="BC16" s="1314" t="e">
        <f t="shared" si="40"/>
        <v>#N/A</v>
      </c>
      <c r="BD16" s="1314" t="e">
        <f t="shared" si="41"/>
        <v>#N/A</v>
      </c>
      <c r="BE16" s="1314" t="e">
        <f t="shared" si="42"/>
        <v>#N/A</v>
      </c>
      <c r="BF16" s="1314" t="e">
        <f t="shared" si="43"/>
        <v>#N/A</v>
      </c>
      <c r="BG16" s="1314" t="e">
        <f t="shared" si="44"/>
        <v>#N/A</v>
      </c>
      <c r="BH16" s="1314" t="e">
        <f t="shared" si="45"/>
        <v>#N/A</v>
      </c>
      <c r="BI16" s="1314" t="e">
        <f t="shared" si="46"/>
        <v>#N/A</v>
      </c>
      <c r="BJ16" s="1314" t="e">
        <f t="shared" si="47"/>
        <v>#N/A</v>
      </c>
      <c r="BK16" s="1314" t="e">
        <f t="shared" si="48"/>
        <v>#N/A</v>
      </c>
      <c r="BL16" s="1314" t="e">
        <f t="shared" si="49"/>
        <v>#N/A</v>
      </c>
      <c r="BM16" s="1314" t="e">
        <f t="shared" si="50"/>
        <v>#N/A</v>
      </c>
      <c r="BN16" s="1314" t="e">
        <f t="shared" si="51"/>
        <v>#N/A</v>
      </c>
      <c r="BO16" s="1314" t="e">
        <f t="shared" si="52"/>
        <v>#N/A</v>
      </c>
      <c r="BP16" s="1314" t="e">
        <f t="shared" si="53"/>
        <v>#N/A</v>
      </c>
      <c r="BQ16" s="1314" t="e">
        <f t="shared" si="54"/>
        <v>#N/A</v>
      </c>
      <c r="BR16" s="1314" t="e">
        <f t="shared" si="55"/>
        <v>#N/A</v>
      </c>
      <c r="BS16" s="1314" t="e">
        <f t="shared" si="56"/>
        <v>#N/A</v>
      </c>
      <c r="BT16" s="1314" t="e">
        <f t="shared" si="57"/>
        <v>#N/A</v>
      </c>
      <c r="BU16" s="1314" t="e">
        <f t="shared" si="58"/>
        <v>#N/A</v>
      </c>
      <c r="BV16" s="1314" t="e">
        <f t="shared" si="59"/>
        <v>#N/A</v>
      </c>
      <c r="BW16" s="1314" t="e">
        <f t="shared" si="60"/>
        <v>#N/A</v>
      </c>
      <c r="BX16" s="1314" t="e">
        <f t="shared" si="61"/>
        <v>#N/A</v>
      </c>
      <c r="BY16" s="1314" t="e">
        <f t="shared" si="62"/>
        <v>#N/A</v>
      </c>
      <c r="BZ16" s="1315"/>
      <c r="CA16" s="1315"/>
      <c r="CB16" s="1315"/>
      <c r="CC16" s="1315"/>
      <c r="CD16" s="1315"/>
      <c r="CE16" s="1315"/>
      <c r="CF16" s="1315"/>
      <c r="CG16" s="1315"/>
      <c r="CH16" s="1315"/>
      <c r="CI16" s="1315"/>
      <c r="CJ16" s="1315"/>
      <c r="CK16" s="1315"/>
      <c r="CL16" s="1315"/>
      <c r="CM16" s="1315"/>
      <c r="CN16" s="1315"/>
      <c r="CO16" s="1315"/>
      <c r="CP16" s="1315"/>
      <c r="CQ16" s="1315"/>
      <c r="CR16" s="1315"/>
      <c r="CS16" s="1315"/>
      <c r="CT16" s="1315"/>
      <c r="CU16" s="1315"/>
      <c r="CV16" s="1315"/>
      <c r="CW16" s="1315"/>
      <c r="CX16" s="1315"/>
      <c r="CY16" s="1315"/>
      <c r="CZ16" s="1315"/>
      <c r="DA16" s="1315"/>
      <c r="DB16" s="1315"/>
      <c r="DC16" s="1315"/>
      <c r="DD16" s="1315"/>
      <c r="DE16" s="1315"/>
      <c r="DF16" s="1315"/>
      <c r="DG16" s="1315"/>
      <c r="DH16" s="1315"/>
      <c r="DI16" s="1315"/>
      <c r="DJ16" s="1315"/>
      <c r="DK16" s="1315"/>
      <c r="DL16" s="1315"/>
      <c r="DM16" s="1315"/>
      <c r="DN16" s="1315"/>
      <c r="DO16" s="1315"/>
      <c r="DP16" s="1315"/>
      <c r="DQ16" s="1315"/>
      <c r="DR16" s="1315"/>
      <c r="DS16" s="1315"/>
      <c r="DT16" s="1315"/>
      <c r="DU16" s="1315"/>
      <c r="DV16" s="1315"/>
      <c r="DW16" s="1315"/>
      <c r="DX16" s="1315"/>
      <c r="DY16" s="1315"/>
      <c r="DZ16" s="1315"/>
      <c r="EA16" s="1315"/>
      <c r="EB16" s="1315"/>
      <c r="EC16" s="1315"/>
      <c r="ED16" s="1315"/>
      <c r="EE16" s="1315"/>
      <c r="EF16" s="1315"/>
      <c r="EG16" s="1315"/>
      <c r="EH16" s="1315"/>
      <c r="EI16" s="1315"/>
      <c r="EJ16" s="1315"/>
      <c r="EK16" s="1315"/>
      <c r="EL16" s="1315"/>
      <c r="EM16" s="1315"/>
      <c r="EN16" s="1315"/>
      <c r="EO16" s="1315"/>
      <c r="EP16" s="1315"/>
      <c r="EQ16" s="1315"/>
      <c r="ER16" s="1315"/>
      <c r="ES16" s="1315"/>
      <c r="ET16" s="1315"/>
      <c r="EU16" s="1315"/>
      <c r="EV16" s="1315"/>
      <c r="EW16" s="1315"/>
      <c r="EX16" s="1315"/>
      <c r="EY16" s="1315"/>
      <c r="EZ16" s="1315"/>
      <c r="FA16" s="1315"/>
      <c r="FB16" s="1315"/>
      <c r="FC16" s="1315"/>
      <c r="FD16" s="1315"/>
      <c r="FE16" s="1315"/>
      <c r="FF16" s="1315"/>
      <c r="FG16" s="1315"/>
      <c r="FH16" s="1315"/>
      <c r="FI16" s="1315"/>
      <c r="FJ16" s="1315"/>
      <c r="FK16" s="1315"/>
      <c r="FL16" s="1315"/>
      <c r="FM16" s="1315"/>
      <c r="FN16" s="1315"/>
      <c r="FO16" s="1315"/>
      <c r="FP16" s="1315"/>
      <c r="FQ16" s="1315"/>
      <c r="FR16" s="1315"/>
      <c r="FS16" s="1315"/>
      <c r="FT16" s="1315"/>
      <c r="FU16" s="1315"/>
      <c r="FV16" s="1315"/>
      <c r="FW16" s="1315"/>
      <c r="FX16" s="1315"/>
      <c r="FY16" s="1315"/>
      <c r="FZ16" s="1315"/>
      <c r="GA16" s="1315"/>
      <c r="GB16" s="1315"/>
      <c r="GC16" s="1315"/>
      <c r="GD16" s="1315"/>
      <c r="GE16" s="1315"/>
      <c r="GF16" s="1315"/>
      <c r="GG16" s="1315"/>
      <c r="GH16" s="1315"/>
      <c r="GI16" s="1315"/>
      <c r="GJ16" s="1315"/>
      <c r="GK16" s="1315"/>
      <c r="GL16" s="1315"/>
      <c r="GM16" s="1315"/>
      <c r="GN16" s="1315"/>
      <c r="GO16" s="1315"/>
      <c r="GP16" s="1315"/>
      <c r="GQ16" s="1315"/>
      <c r="GR16" s="1315"/>
      <c r="GS16" s="1315"/>
      <c r="GT16" s="1315"/>
      <c r="GU16" s="1315"/>
      <c r="GV16" s="1315"/>
      <c r="GW16" s="1315"/>
      <c r="GX16" s="1315"/>
      <c r="GY16" s="1315"/>
      <c r="GZ16" s="1315"/>
      <c r="HA16" s="1315"/>
      <c r="HB16" s="1315"/>
      <c r="HC16" s="1315"/>
      <c r="HD16" s="1315"/>
      <c r="HE16" s="1315"/>
      <c r="HF16" s="1315"/>
      <c r="HG16" s="1315"/>
      <c r="HH16" s="1315"/>
      <c r="HI16" s="1315"/>
      <c r="HJ16" s="1315"/>
      <c r="HK16" s="1315"/>
      <c r="HL16" s="1315"/>
      <c r="HM16" s="1315"/>
      <c r="HN16" s="1315"/>
      <c r="HO16" s="1315"/>
      <c r="HP16" s="1315"/>
      <c r="HQ16" s="1315"/>
      <c r="HR16" s="1315"/>
      <c r="HS16" s="1315"/>
      <c r="HT16" s="1315"/>
      <c r="HU16" s="1315"/>
      <c r="HV16" s="1315"/>
      <c r="HW16" s="1315"/>
      <c r="HX16" s="1315"/>
      <c r="HY16" s="1315"/>
      <c r="HZ16" s="1315"/>
      <c r="IA16" s="1315"/>
      <c r="IB16" s="1315"/>
      <c r="IC16" s="1315"/>
      <c r="ID16" s="1315"/>
      <c r="IE16" s="1315"/>
      <c r="IF16" s="1315"/>
      <c r="IG16" s="1315"/>
      <c r="IH16" s="1315"/>
      <c r="II16" s="1315"/>
      <c r="IJ16" s="1315"/>
    </row>
    <row r="17" spans="1:244" s="53" customFormat="1" ht="12" x14ac:dyDescent="0.2">
      <c r="A17" s="444">
        <v>6</v>
      </c>
      <c r="B17" s="1312">
        <v>2886</v>
      </c>
      <c r="C17" s="1313">
        <v>16000</v>
      </c>
      <c r="D17" s="1313">
        <f t="shared" si="63"/>
        <v>16640</v>
      </c>
      <c r="E17" s="1313">
        <f t="shared" si="10"/>
        <v>17356</v>
      </c>
      <c r="F17" s="1313">
        <f t="shared" si="10"/>
        <v>17877</v>
      </c>
      <c r="G17" s="1313">
        <f t="shared" si="10"/>
        <v>18539</v>
      </c>
      <c r="H17" s="1313">
        <f t="shared" si="10"/>
        <v>19281</v>
      </c>
      <c r="I17" s="1313">
        <f t="shared" si="10"/>
        <v>20053</v>
      </c>
      <c r="J17" s="1314">
        <f t="shared" si="10"/>
        <v>20856</v>
      </c>
      <c r="K17" s="1314" t="e">
        <f t="shared" si="10"/>
        <v>#N/A</v>
      </c>
      <c r="L17" s="1314" t="e">
        <f t="shared" si="10"/>
        <v>#N/A</v>
      </c>
      <c r="M17" s="1314" t="e">
        <f t="shared" si="10"/>
        <v>#N/A</v>
      </c>
      <c r="N17" s="1314" t="e">
        <f t="shared" si="10"/>
        <v>#N/A</v>
      </c>
      <c r="O17" s="1314" t="e">
        <f t="shared" si="10"/>
        <v>#N/A</v>
      </c>
      <c r="P17" s="1314" t="e">
        <f t="shared" si="10"/>
        <v>#N/A</v>
      </c>
      <c r="Q17" s="1314" t="e">
        <f t="shared" si="10"/>
        <v>#N/A</v>
      </c>
      <c r="R17" s="1314" t="e">
        <f t="shared" si="10"/>
        <v>#N/A</v>
      </c>
      <c r="S17" s="1314" t="e">
        <f t="shared" si="10"/>
        <v>#N/A</v>
      </c>
      <c r="T17" s="1314" t="e">
        <f t="shared" si="10"/>
        <v>#N/A</v>
      </c>
      <c r="U17" s="1314" t="e">
        <f t="shared" si="10"/>
        <v>#N/A</v>
      </c>
      <c r="V17" s="1314" t="e">
        <f t="shared" si="10"/>
        <v>#N/A</v>
      </c>
      <c r="W17" s="1314" t="e">
        <f t="shared" si="10"/>
        <v>#N/A</v>
      </c>
      <c r="X17" s="1314" t="e">
        <f t="shared" si="10"/>
        <v>#N/A</v>
      </c>
      <c r="Y17" s="1314" t="e">
        <f t="shared" si="10"/>
        <v>#N/A</v>
      </c>
      <c r="Z17" s="1314" t="e">
        <f t="shared" si="11"/>
        <v>#N/A</v>
      </c>
      <c r="AA17" s="1314" t="e">
        <f t="shared" si="12"/>
        <v>#N/A</v>
      </c>
      <c r="AB17" s="1314" t="e">
        <f t="shared" si="13"/>
        <v>#N/A</v>
      </c>
      <c r="AC17" s="1314" t="e">
        <f t="shared" si="14"/>
        <v>#N/A</v>
      </c>
      <c r="AD17" s="1314" t="e">
        <f t="shared" si="15"/>
        <v>#N/A</v>
      </c>
      <c r="AE17" s="1314" t="e">
        <f t="shared" si="16"/>
        <v>#N/A</v>
      </c>
      <c r="AF17" s="1314" t="e">
        <f t="shared" si="17"/>
        <v>#N/A</v>
      </c>
      <c r="AG17" s="1314" t="e">
        <f t="shared" si="18"/>
        <v>#N/A</v>
      </c>
      <c r="AH17" s="1314" t="e">
        <f t="shared" si="19"/>
        <v>#N/A</v>
      </c>
      <c r="AI17" s="1314" t="e">
        <f t="shared" si="20"/>
        <v>#N/A</v>
      </c>
      <c r="AJ17" s="1314" t="e">
        <f t="shared" si="21"/>
        <v>#N/A</v>
      </c>
      <c r="AK17" s="1314" t="e">
        <f t="shared" si="22"/>
        <v>#N/A</v>
      </c>
      <c r="AL17" s="1314" t="e">
        <f t="shared" si="23"/>
        <v>#N/A</v>
      </c>
      <c r="AM17" s="1314" t="e">
        <f t="shared" si="24"/>
        <v>#N/A</v>
      </c>
      <c r="AN17" s="1314" t="e">
        <f t="shared" si="25"/>
        <v>#N/A</v>
      </c>
      <c r="AO17" s="1314" t="e">
        <f t="shared" si="26"/>
        <v>#N/A</v>
      </c>
      <c r="AP17" s="1314" t="e">
        <f t="shared" si="27"/>
        <v>#N/A</v>
      </c>
      <c r="AQ17" s="1314" t="e">
        <f t="shared" si="28"/>
        <v>#N/A</v>
      </c>
      <c r="AR17" s="1314" t="e">
        <f t="shared" si="29"/>
        <v>#N/A</v>
      </c>
      <c r="AS17" s="1314" t="e">
        <f t="shared" si="30"/>
        <v>#N/A</v>
      </c>
      <c r="AT17" s="1314" t="e">
        <f t="shared" si="31"/>
        <v>#N/A</v>
      </c>
      <c r="AU17" s="1314" t="e">
        <f t="shared" si="32"/>
        <v>#N/A</v>
      </c>
      <c r="AV17" s="1314" t="e">
        <f t="shared" si="33"/>
        <v>#N/A</v>
      </c>
      <c r="AW17" s="1314" t="e">
        <f t="shared" si="34"/>
        <v>#N/A</v>
      </c>
      <c r="AX17" s="1314" t="e">
        <f t="shared" si="35"/>
        <v>#N/A</v>
      </c>
      <c r="AY17" s="1314" t="e">
        <f t="shared" si="36"/>
        <v>#N/A</v>
      </c>
      <c r="AZ17" s="1314" t="e">
        <f t="shared" si="37"/>
        <v>#N/A</v>
      </c>
      <c r="BA17" s="1314" t="e">
        <f t="shared" si="38"/>
        <v>#N/A</v>
      </c>
      <c r="BB17" s="1314" t="e">
        <f t="shared" si="39"/>
        <v>#N/A</v>
      </c>
      <c r="BC17" s="1314" t="e">
        <f t="shared" si="40"/>
        <v>#N/A</v>
      </c>
      <c r="BD17" s="1314" t="e">
        <f t="shared" si="41"/>
        <v>#N/A</v>
      </c>
      <c r="BE17" s="1314" t="e">
        <f t="shared" si="42"/>
        <v>#N/A</v>
      </c>
      <c r="BF17" s="1314" t="e">
        <f t="shared" si="43"/>
        <v>#N/A</v>
      </c>
      <c r="BG17" s="1314" t="e">
        <f t="shared" si="44"/>
        <v>#N/A</v>
      </c>
      <c r="BH17" s="1314" t="e">
        <f t="shared" si="45"/>
        <v>#N/A</v>
      </c>
      <c r="BI17" s="1314" t="e">
        <f t="shared" si="46"/>
        <v>#N/A</v>
      </c>
      <c r="BJ17" s="1314" t="e">
        <f t="shared" si="47"/>
        <v>#N/A</v>
      </c>
      <c r="BK17" s="1314" t="e">
        <f t="shared" si="48"/>
        <v>#N/A</v>
      </c>
      <c r="BL17" s="1314" t="e">
        <f t="shared" si="49"/>
        <v>#N/A</v>
      </c>
      <c r="BM17" s="1314" t="e">
        <f t="shared" si="50"/>
        <v>#N/A</v>
      </c>
      <c r="BN17" s="1314" t="e">
        <f t="shared" si="51"/>
        <v>#N/A</v>
      </c>
      <c r="BO17" s="1314" t="e">
        <f t="shared" si="52"/>
        <v>#N/A</v>
      </c>
      <c r="BP17" s="1314" t="e">
        <f t="shared" si="53"/>
        <v>#N/A</v>
      </c>
      <c r="BQ17" s="1314" t="e">
        <f t="shared" si="54"/>
        <v>#N/A</v>
      </c>
      <c r="BR17" s="1314" t="e">
        <f t="shared" si="55"/>
        <v>#N/A</v>
      </c>
      <c r="BS17" s="1314" t="e">
        <f t="shared" si="56"/>
        <v>#N/A</v>
      </c>
      <c r="BT17" s="1314" t="e">
        <f t="shared" si="57"/>
        <v>#N/A</v>
      </c>
      <c r="BU17" s="1314" t="e">
        <f t="shared" si="58"/>
        <v>#N/A</v>
      </c>
      <c r="BV17" s="1314" t="e">
        <f t="shared" si="59"/>
        <v>#N/A</v>
      </c>
      <c r="BW17" s="1314" t="e">
        <f t="shared" si="60"/>
        <v>#N/A</v>
      </c>
      <c r="BX17" s="1314" t="e">
        <f t="shared" si="61"/>
        <v>#N/A</v>
      </c>
      <c r="BY17" s="1314" t="e">
        <f t="shared" si="62"/>
        <v>#N/A</v>
      </c>
      <c r="BZ17" s="1315"/>
      <c r="CA17" s="1315"/>
      <c r="CB17" s="1315"/>
      <c r="CC17" s="1315"/>
      <c r="CD17" s="1315"/>
      <c r="CE17" s="1315"/>
      <c r="CF17" s="1315"/>
      <c r="CG17" s="1315"/>
      <c r="CH17" s="1315"/>
      <c r="CI17" s="1315"/>
      <c r="CJ17" s="1315"/>
      <c r="CK17" s="1315"/>
      <c r="CL17" s="1315"/>
      <c r="CM17" s="1315"/>
      <c r="CN17" s="1315"/>
      <c r="CO17" s="1315"/>
      <c r="CP17" s="1315"/>
      <c r="CQ17" s="1315"/>
      <c r="CR17" s="1315"/>
      <c r="CS17" s="1315"/>
      <c r="CT17" s="1315"/>
      <c r="CU17" s="1315"/>
      <c r="CV17" s="1315"/>
      <c r="CW17" s="1315"/>
      <c r="CX17" s="1315"/>
      <c r="CY17" s="1315"/>
      <c r="CZ17" s="1315"/>
      <c r="DA17" s="1315"/>
      <c r="DB17" s="1315"/>
      <c r="DC17" s="1315"/>
      <c r="DD17" s="1315"/>
      <c r="DE17" s="1315"/>
      <c r="DF17" s="1315"/>
      <c r="DG17" s="1315"/>
      <c r="DH17" s="1315"/>
      <c r="DI17" s="1315"/>
      <c r="DJ17" s="1315"/>
      <c r="DK17" s="1315"/>
      <c r="DL17" s="1315"/>
      <c r="DM17" s="1315"/>
      <c r="DN17" s="1315"/>
      <c r="DO17" s="1315"/>
      <c r="DP17" s="1315"/>
      <c r="DQ17" s="1315"/>
      <c r="DR17" s="1315"/>
      <c r="DS17" s="1315"/>
      <c r="DT17" s="1315"/>
      <c r="DU17" s="1315"/>
      <c r="DV17" s="1315"/>
      <c r="DW17" s="1315"/>
      <c r="DX17" s="1315"/>
      <c r="DY17" s="1315"/>
      <c r="DZ17" s="1315"/>
      <c r="EA17" s="1315"/>
      <c r="EB17" s="1315"/>
      <c r="EC17" s="1315"/>
      <c r="ED17" s="1315"/>
      <c r="EE17" s="1315"/>
      <c r="EF17" s="1315"/>
      <c r="EG17" s="1315"/>
      <c r="EH17" s="1315"/>
      <c r="EI17" s="1315"/>
      <c r="EJ17" s="1315"/>
      <c r="EK17" s="1315"/>
      <c r="EL17" s="1315"/>
      <c r="EM17" s="1315"/>
      <c r="EN17" s="1315"/>
      <c r="EO17" s="1315"/>
      <c r="EP17" s="1315"/>
      <c r="EQ17" s="1315"/>
      <c r="ER17" s="1315"/>
      <c r="ES17" s="1315"/>
      <c r="ET17" s="1315"/>
      <c r="EU17" s="1315"/>
      <c r="EV17" s="1315"/>
      <c r="EW17" s="1315"/>
      <c r="EX17" s="1315"/>
      <c r="EY17" s="1315"/>
      <c r="EZ17" s="1315"/>
      <c r="FA17" s="1315"/>
      <c r="FB17" s="1315"/>
      <c r="FC17" s="1315"/>
      <c r="FD17" s="1315"/>
      <c r="FE17" s="1315"/>
      <c r="FF17" s="1315"/>
      <c r="FG17" s="1315"/>
      <c r="FH17" s="1315"/>
      <c r="FI17" s="1315"/>
      <c r="FJ17" s="1315"/>
      <c r="FK17" s="1315"/>
      <c r="FL17" s="1315"/>
      <c r="FM17" s="1315"/>
      <c r="FN17" s="1315"/>
      <c r="FO17" s="1315"/>
      <c r="FP17" s="1315"/>
      <c r="FQ17" s="1315"/>
      <c r="FR17" s="1315"/>
      <c r="FS17" s="1315"/>
      <c r="FT17" s="1315"/>
      <c r="FU17" s="1315"/>
      <c r="FV17" s="1315"/>
      <c r="FW17" s="1315"/>
      <c r="FX17" s="1315"/>
      <c r="FY17" s="1315"/>
      <c r="FZ17" s="1315"/>
      <c r="GA17" s="1315"/>
      <c r="GB17" s="1315"/>
      <c r="GC17" s="1315"/>
      <c r="GD17" s="1315"/>
      <c r="GE17" s="1315"/>
      <c r="GF17" s="1315"/>
      <c r="GG17" s="1315"/>
      <c r="GH17" s="1315"/>
      <c r="GI17" s="1315"/>
      <c r="GJ17" s="1315"/>
      <c r="GK17" s="1315"/>
      <c r="GL17" s="1315"/>
      <c r="GM17" s="1315"/>
      <c r="GN17" s="1315"/>
      <c r="GO17" s="1315"/>
      <c r="GP17" s="1315"/>
      <c r="GQ17" s="1315"/>
      <c r="GR17" s="1315"/>
      <c r="GS17" s="1315"/>
      <c r="GT17" s="1315"/>
      <c r="GU17" s="1315"/>
      <c r="GV17" s="1315"/>
      <c r="GW17" s="1315"/>
      <c r="GX17" s="1315"/>
      <c r="GY17" s="1315"/>
      <c r="GZ17" s="1315"/>
      <c r="HA17" s="1315"/>
      <c r="HB17" s="1315"/>
      <c r="HC17" s="1315"/>
      <c r="HD17" s="1315"/>
      <c r="HE17" s="1315"/>
      <c r="HF17" s="1315"/>
      <c r="HG17" s="1315"/>
      <c r="HH17" s="1315"/>
      <c r="HI17" s="1315"/>
      <c r="HJ17" s="1315"/>
      <c r="HK17" s="1315"/>
      <c r="HL17" s="1315"/>
      <c r="HM17" s="1315"/>
      <c r="HN17" s="1315"/>
      <c r="HO17" s="1315"/>
      <c r="HP17" s="1315"/>
      <c r="HQ17" s="1315"/>
      <c r="HR17" s="1315"/>
      <c r="HS17" s="1315"/>
      <c r="HT17" s="1315"/>
      <c r="HU17" s="1315"/>
      <c r="HV17" s="1315"/>
      <c r="HW17" s="1315"/>
      <c r="HX17" s="1315"/>
      <c r="HY17" s="1315"/>
      <c r="HZ17" s="1315"/>
      <c r="IA17" s="1315"/>
      <c r="IB17" s="1315"/>
      <c r="IC17" s="1315"/>
      <c r="ID17" s="1315"/>
      <c r="IE17" s="1315"/>
      <c r="IF17" s="1315"/>
      <c r="IG17" s="1315"/>
      <c r="IH17" s="1315"/>
      <c r="II17" s="1315"/>
      <c r="IJ17" s="1315"/>
    </row>
    <row r="18" spans="1:244" s="53" customFormat="1" ht="12" x14ac:dyDescent="0.2">
      <c r="A18" s="444">
        <v>7</v>
      </c>
      <c r="B18" s="1312">
        <v>2997</v>
      </c>
      <c r="C18" s="1313">
        <v>17000</v>
      </c>
      <c r="D18" s="1313">
        <f t="shared" si="63"/>
        <v>17680</v>
      </c>
      <c r="E18" s="1313">
        <f t="shared" si="10"/>
        <v>18441</v>
      </c>
      <c r="F18" s="1313">
        <f t="shared" si="10"/>
        <v>18995</v>
      </c>
      <c r="G18" s="1313">
        <f t="shared" si="10"/>
        <v>19698</v>
      </c>
      <c r="H18" s="1313">
        <f t="shared" si="10"/>
        <v>20486</v>
      </c>
      <c r="I18" s="1313">
        <f t="shared" si="10"/>
        <v>21306</v>
      </c>
      <c r="J18" s="1314">
        <f t="shared" si="10"/>
        <v>22159</v>
      </c>
      <c r="K18" s="1314" t="e">
        <f t="shared" si="10"/>
        <v>#N/A</v>
      </c>
      <c r="L18" s="1314" t="e">
        <f t="shared" si="10"/>
        <v>#N/A</v>
      </c>
      <c r="M18" s="1314" t="e">
        <f t="shared" si="10"/>
        <v>#N/A</v>
      </c>
      <c r="N18" s="1314" t="e">
        <f t="shared" si="10"/>
        <v>#N/A</v>
      </c>
      <c r="O18" s="1314" t="e">
        <f t="shared" si="10"/>
        <v>#N/A</v>
      </c>
      <c r="P18" s="1314" t="e">
        <f t="shared" si="10"/>
        <v>#N/A</v>
      </c>
      <c r="Q18" s="1314" t="e">
        <f t="shared" si="10"/>
        <v>#N/A</v>
      </c>
      <c r="R18" s="1314" t="e">
        <f t="shared" si="10"/>
        <v>#N/A</v>
      </c>
      <c r="S18" s="1314" t="e">
        <f t="shared" si="10"/>
        <v>#N/A</v>
      </c>
      <c r="T18" s="1314" t="e">
        <f t="shared" si="10"/>
        <v>#N/A</v>
      </c>
      <c r="U18" s="1314" t="e">
        <f t="shared" si="10"/>
        <v>#N/A</v>
      </c>
      <c r="V18" s="1314" t="e">
        <f t="shared" si="10"/>
        <v>#N/A</v>
      </c>
      <c r="W18" s="1314" t="e">
        <f t="shared" si="10"/>
        <v>#N/A</v>
      </c>
      <c r="X18" s="1314" t="e">
        <f t="shared" si="10"/>
        <v>#N/A</v>
      </c>
      <c r="Y18" s="1314" t="e">
        <f t="shared" si="10"/>
        <v>#N/A</v>
      </c>
      <c r="Z18" s="1314" t="e">
        <f t="shared" si="11"/>
        <v>#N/A</v>
      </c>
      <c r="AA18" s="1314" t="e">
        <f t="shared" si="12"/>
        <v>#N/A</v>
      </c>
      <c r="AB18" s="1314" t="e">
        <f t="shared" si="13"/>
        <v>#N/A</v>
      </c>
      <c r="AC18" s="1314" t="e">
        <f t="shared" si="14"/>
        <v>#N/A</v>
      </c>
      <c r="AD18" s="1314" t="e">
        <f t="shared" si="15"/>
        <v>#N/A</v>
      </c>
      <c r="AE18" s="1314" t="e">
        <f t="shared" si="16"/>
        <v>#N/A</v>
      </c>
      <c r="AF18" s="1314" t="e">
        <f t="shared" si="17"/>
        <v>#N/A</v>
      </c>
      <c r="AG18" s="1314" t="e">
        <f t="shared" si="18"/>
        <v>#N/A</v>
      </c>
      <c r="AH18" s="1314" t="e">
        <f t="shared" si="19"/>
        <v>#N/A</v>
      </c>
      <c r="AI18" s="1314" t="e">
        <f t="shared" si="20"/>
        <v>#N/A</v>
      </c>
      <c r="AJ18" s="1314" t="e">
        <f t="shared" si="21"/>
        <v>#N/A</v>
      </c>
      <c r="AK18" s="1314" t="e">
        <f t="shared" si="22"/>
        <v>#N/A</v>
      </c>
      <c r="AL18" s="1314" t="e">
        <f t="shared" si="23"/>
        <v>#N/A</v>
      </c>
      <c r="AM18" s="1314" t="e">
        <f t="shared" si="24"/>
        <v>#N/A</v>
      </c>
      <c r="AN18" s="1314" t="e">
        <f t="shared" si="25"/>
        <v>#N/A</v>
      </c>
      <c r="AO18" s="1314" t="e">
        <f t="shared" si="26"/>
        <v>#N/A</v>
      </c>
      <c r="AP18" s="1314" t="e">
        <f t="shared" si="27"/>
        <v>#N/A</v>
      </c>
      <c r="AQ18" s="1314" t="e">
        <f t="shared" si="28"/>
        <v>#N/A</v>
      </c>
      <c r="AR18" s="1314" t="e">
        <f t="shared" si="29"/>
        <v>#N/A</v>
      </c>
      <c r="AS18" s="1314" t="e">
        <f t="shared" si="30"/>
        <v>#N/A</v>
      </c>
      <c r="AT18" s="1314" t="e">
        <f t="shared" si="31"/>
        <v>#N/A</v>
      </c>
      <c r="AU18" s="1314" t="e">
        <f t="shared" si="32"/>
        <v>#N/A</v>
      </c>
      <c r="AV18" s="1314" t="e">
        <f t="shared" si="33"/>
        <v>#N/A</v>
      </c>
      <c r="AW18" s="1314" t="e">
        <f t="shared" si="34"/>
        <v>#N/A</v>
      </c>
      <c r="AX18" s="1314" t="e">
        <f t="shared" si="35"/>
        <v>#N/A</v>
      </c>
      <c r="AY18" s="1314" t="e">
        <f t="shared" si="36"/>
        <v>#N/A</v>
      </c>
      <c r="AZ18" s="1314" t="e">
        <f t="shared" si="37"/>
        <v>#N/A</v>
      </c>
      <c r="BA18" s="1314" t="e">
        <f t="shared" si="38"/>
        <v>#N/A</v>
      </c>
      <c r="BB18" s="1314" t="e">
        <f t="shared" si="39"/>
        <v>#N/A</v>
      </c>
      <c r="BC18" s="1314" t="e">
        <f t="shared" si="40"/>
        <v>#N/A</v>
      </c>
      <c r="BD18" s="1314" t="e">
        <f t="shared" si="41"/>
        <v>#N/A</v>
      </c>
      <c r="BE18" s="1314" t="e">
        <f t="shared" si="42"/>
        <v>#N/A</v>
      </c>
      <c r="BF18" s="1314" t="e">
        <f t="shared" si="43"/>
        <v>#N/A</v>
      </c>
      <c r="BG18" s="1314" t="e">
        <f t="shared" si="44"/>
        <v>#N/A</v>
      </c>
      <c r="BH18" s="1314" t="e">
        <f t="shared" si="45"/>
        <v>#N/A</v>
      </c>
      <c r="BI18" s="1314" t="e">
        <f t="shared" si="46"/>
        <v>#N/A</v>
      </c>
      <c r="BJ18" s="1314" t="e">
        <f t="shared" si="47"/>
        <v>#N/A</v>
      </c>
      <c r="BK18" s="1314" t="e">
        <f t="shared" si="48"/>
        <v>#N/A</v>
      </c>
      <c r="BL18" s="1314" t="e">
        <f t="shared" si="49"/>
        <v>#N/A</v>
      </c>
      <c r="BM18" s="1314" t="e">
        <f t="shared" si="50"/>
        <v>#N/A</v>
      </c>
      <c r="BN18" s="1314" t="e">
        <f t="shared" si="51"/>
        <v>#N/A</v>
      </c>
      <c r="BO18" s="1314" t="e">
        <f t="shared" si="52"/>
        <v>#N/A</v>
      </c>
      <c r="BP18" s="1314" t="e">
        <f t="shared" si="53"/>
        <v>#N/A</v>
      </c>
      <c r="BQ18" s="1314" t="e">
        <f t="shared" si="54"/>
        <v>#N/A</v>
      </c>
      <c r="BR18" s="1314" t="e">
        <f t="shared" si="55"/>
        <v>#N/A</v>
      </c>
      <c r="BS18" s="1314" t="e">
        <f t="shared" si="56"/>
        <v>#N/A</v>
      </c>
      <c r="BT18" s="1314" t="e">
        <f t="shared" si="57"/>
        <v>#N/A</v>
      </c>
      <c r="BU18" s="1314" t="e">
        <f t="shared" si="58"/>
        <v>#N/A</v>
      </c>
      <c r="BV18" s="1314" t="e">
        <f t="shared" si="59"/>
        <v>#N/A</v>
      </c>
      <c r="BW18" s="1314" t="e">
        <f t="shared" si="60"/>
        <v>#N/A</v>
      </c>
      <c r="BX18" s="1314" t="e">
        <f t="shared" si="61"/>
        <v>#N/A</v>
      </c>
      <c r="BY18" s="1314" t="e">
        <f t="shared" si="62"/>
        <v>#N/A</v>
      </c>
      <c r="BZ18" s="1315"/>
      <c r="CA18" s="1315"/>
      <c r="CB18" s="1315"/>
      <c r="CC18" s="1315"/>
      <c r="CD18" s="1315"/>
      <c r="CE18" s="1315"/>
      <c r="CF18" s="1315"/>
      <c r="CG18" s="1315"/>
      <c r="CH18" s="1315"/>
      <c r="CI18" s="1315"/>
      <c r="CJ18" s="1315"/>
      <c r="CK18" s="1315"/>
      <c r="CL18" s="1315"/>
      <c r="CM18" s="1315"/>
      <c r="CN18" s="1315"/>
      <c r="CO18" s="1315"/>
      <c r="CP18" s="1315"/>
      <c r="CQ18" s="1315"/>
      <c r="CR18" s="1315"/>
      <c r="CS18" s="1315"/>
      <c r="CT18" s="1315"/>
      <c r="CU18" s="1315"/>
      <c r="CV18" s="1315"/>
      <c r="CW18" s="1315"/>
      <c r="CX18" s="1315"/>
      <c r="CY18" s="1315"/>
      <c r="CZ18" s="1315"/>
      <c r="DA18" s="1315"/>
      <c r="DB18" s="1315"/>
      <c r="DC18" s="1315"/>
      <c r="DD18" s="1315"/>
      <c r="DE18" s="1315"/>
      <c r="DF18" s="1315"/>
      <c r="DG18" s="1315"/>
      <c r="DH18" s="1315"/>
      <c r="DI18" s="1315"/>
      <c r="DJ18" s="1315"/>
      <c r="DK18" s="1315"/>
      <c r="DL18" s="1315"/>
      <c r="DM18" s="1315"/>
      <c r="DN18" s="1315"/>
      <c r="DO18" s="1315"/>
      <c r="DP18" s="1315"/>
      <c r="DQ18" s="1315"/>
      <c r="DR18" s="1315"/>
      <c r="DS18" s="1315"/>
      <c r="DT18" s="1315"/>
      <c r="DU18" s="1315"/>
      <c r="DV18" s="1315"/>
      <c r="DW18" s="1315"/>
      <c r="DX18" s="1315"/>
      <c r="DY18" s="1315"/>
      <c r="DZ18" s="1315"/>
      <c r="EA18" s="1315"/>
      <c r="EB18" s="1315"/>
      <c r="EC18" s="1315"/>
      <c r="ED18" s="1315"/>
      <c r="EE18" s="1315"/>
      <c r="EF18" s="1315"/>
      <c r="EG18" s="1315"/>
      <c r="EH18" s="1315"/>
      <c r="EI18" s="1315"/>
      <c r="EJ18" s="1315"/>
      <c r="EK18" s="1315"/>
      <c r="EL18" s="1315"/>
      <c r="EM18" s="1315"/>
      <c r="EN18" s="1315"/>
      <c r="EO18" s="1315"/>
      <c r="EP18" s="1315"/>
      <c r="EQ18" s="1315"/>
      <c r="ER18" s="1315"/>
      <c r="ES18" s="1315"/>
      <c r="ET18" s="1315"/>
      <c r="EU18" s="1315"/>
      <c r="EV18" s="1315"/>
      <c r="EW18" s="1315"/>
      <c r="EX18" s="1315"/>
      <c r="EY18" s="1315"/>
      <c r="EZ18" s="1315"/>
      <c r="FA18" s="1315"/>
      <c r="FB18" s="1315"/>
      <c r="FC18" s="1315"/>
      <c r="FD18" s="1315"/>
      <c r="FE18" s="1315"/>
      <c r="FF18" s="1315"/>
      <c r="FG18" s="1315"/>
      <c r="FH18" s="1315"/>
      <c r="FI18" s="1315"/>
      <c r="FJ18" s="1315"/>
      <c r="FK18" s="1315"/>
      <c r="FL18" s="1315"/>
      <c r="FM18" s="1315"/>
      <c r="FN18" s="1315"/>
      <c r="FO18" s="1315"/>
      <c r="FP18" s="1315"/>
      <c r="FQ18" s="1315"/>
      <c r="FR18" s="1315"/>
      <c r="FS18" s="1315"/>
      <c r="FT18" s="1315"/>
      <c r="FU18" s="1315"/>
      <c r="FV18" s="1315"/>
      <c r="FW18" s="1315"/>
      <c r="FX18" s="1315"/>
      <c r="FY18" s="1315"/>
      <c r="FZ18" s="1315"/>
      <c r="GA18" s="1315"/>
      <c r="GB18" s="1315"/>
      <c r="GC18" s="1315"/>
      <c r="GD18" s="1315"/>
      <c r="GE18" s="1315"/>
      <c r="GF18" s="1315"/>
      <c r="GG18" s="1315"/>
      <c r="GH18" s="1315"/>
      <c r="GI18" s="1315"/>
      <c r="GJ18" s="1315"/>
      <c r="GK18" s="1315"/>
      <c r="GL18" s="1315"/>
      <c r="GM18" s="1315"/>
      <c r="GN18" s="1315"/>
      <c r="GO18" s="1315"/>
      <c r="GP18" s="1315"/>
      <c r="GQ18" s="1315"/>
      <c r="GR18" s="1315"/>
      <c r="GS18" s="1315"/>
      <c r="GT18" s="1315"/>
      <c r="GU18" s="1315"/>
      <c r="GV18" s="1315"/>
      <c r="GW18" s="1315"/>
      <c r="GX18" s="1315"/>
      <c r="GY18" s="1315"/>
      <c r="GZ18" s="1315"/>
      <c r="HA18" s="1315"/>
      <c r="HB18" s="1315"/>
      <c r="HC18" s="1315"/>
      <c r="HD18" s="1315"/>
      <c r="HE18" s="1315"/>
      <c r="HF18" s="1315"/>
      <c r="HG18" s="1315"/>
      <c r="HH18" s="1315"/>
      <c r="HI18" s="1315"/>
      <c r="HJ18" s="1315"/>
      <c r="HK18" s="1315"/>
      <c r="HL18" s="1315"/>
      <c r="HM18" s="1315"/>
      <c r="HN18" s="1315"/>
      <c r="HO18" s="1315"/>
      <c r="HP18" s="1315"/>
      <c r="HQ18" s="1315"/>
      <c r="HR18" s="1315"/>
      <c r="HS18" s="1315"/>
      <c r="HT18" s="1315"/>
      <c r="HU18" s="1315"/>
      <c r="HV18" s="1315"/>
      <c r="HW18" s="1315"/>
      <c r="HX18" s="1315"/>
      <c r="HY18" s="1315"/>
      <c r="HZ18" s="1315"/>
      <c r="IA18" s="1315"/>
      <c r="IB18" s="1315"/>
      <c r="IC18" s="1315"/>
      <c r="ID18" s="1315"/>
      <c r="IE18" s="1315"/>
      <c r="IF18" s="1315"/>
      <c r="IG18" s="1315"/>
      <c r="IH18" s="1315"/>
      <c r="II18" s="1315"/>
      <c r="IJ18" s="1315"/>
    </row>
    <row r="19" spans="1:244" s="53" customFormat="1" ht="12" x14ac:dyDescent="0.2">
      <c r="A19" s="444">
        <v>8</v>
      </c>
      <c r="B19" s="1312">
        <v>3106</v>
      </c>
      <c r="C19" s="1313">
        <v>17500</v>
      </c>
      <c r="D19" s="1313">
        <f t="shared" si="63"/>
        <v>18200</v>
      </c>
      <c r="E19" s="1313">
        <f t="shared" si="10"/>
        <v>18983</v>
      </c>
      <c r="F19" s="1313">
        <f t="shared" si="10"/>
        <v>19553</v>
      </c>
      <c r="G19" s="1313">
        <f t="shared" si="10"/>
        <v>20277</v>
      </c>
      <c r="H19" s="1313">
        <f t="shared" si="10"/>
        <v>21089</v>
      </c>
      <c r="I19" s="1313">
        <f t="shared" si="10"/>
        <v>21933</v>
      </c>
      <c r="J19" s="1314">
        <f t="shared" si="10"/>
        <v>22811</v>
      </c>
      <c r="K19" s="1314" t="e">
        <f t="shared" si="10"/>
        <v>#N/A</v>
      </c>
      <c r="L19" s="1314" t="e">
        <f t="shared" si="10"/>
        <v>#N/A</v>
      </c>
      <c r="M19" s="1314" t="e">
        <f t="shared" si="10"/>
        <v>#N/A</v>
      </c>
      <c r="N19" s="1314" t="e">
        <f t="shared" si="10"/>
        <v>#N/A</v>
      </c>
      <c r="O19" s="1314" t="e">
        <f t="shared" si="10"/>
        <v>#N/A</v>
      </c>
      <c r="P19" s="1314" t="e">
        <f t="shared" si="10"/>
        <v>#N/A</v>
      </c>
      <c r="Q19" s="1314" t="e">
        <f t="shared" si="10"/>
        <v>#N/A</v>
      </c>
      <c r="R19" s="1314" t="e">
        <f t="shared" si="10"/>
        <v>#N/A</v>
      </c>
      <c r="S19" s="1314" t="e">
        <f t="shared" si="10"/>
        <v>#N/A</v>
      </c>
      <c r="T19" s="1314" t="e">
        <f t="shared" si="10"/>
        <v>#N/A</v>
      </c>
      <c r="U19" s="1314" t="e">
        <f t="shared" si="10"/>
        <v>#N/A</v>
      </c>
      <c r="V19" s="1314" t="e">
        <f t="shared" si="10"/>
        <v>#N/A</v>
      </c>
      <c r="W19" s="1314" t="e">
        <f t="shared" si="10"/>
        <v>#N/A</v>
      </c>
      <c r="X19" s="1314" t="e">
        <f t="shared" si="10"/>
        <v>#N/A</v>
      </c>
      <c r="Y19" s="1314" t="e">
        <f t="shared" si="10"/>
        <v>#N/A</v>
      </c>
      <c r="Z19" s="1314" t="e">
        <f t="shared" si="11"/>
        <v>#N/A</v>
      </c>
      <c r="AA19" s="1314" t="e">
        <f t="shared" si="12"/>
        <v>#N/A</v>
      </c>
      <c r="AB19" s="1314" t="e">
        <f t="shared" si="13"/>
        <v>#N/A</v>
      </c>
      <c r="AC19" s="1314" t="e">
        <f t="shared" si="14"/>
        <v>#N/A</v>
      </c>
      <c r="AD19" s="1314" t="e">
        <f t="shared" si="15"/>
        <v>#N/A</v>
      </c>
      <c r="AE19" s="1314" t="e">
        <f t="shared" si="16"/>
        <v>#N/A</v>
      </c>
      <c r="AF19" s="1314" t="e">
        <f t="shared" si="17"/>
        <v>#N/A</v>
      </c>
      <c r="AG19" s="1314" t="e">
        <f t="shared" si="18"/>
        <v>#N/A</v>
      </c>
      <c r="AH19" s="1314" t="e">
        <f t="shared" si="19"/>
        <v>#N/A</v>
      </c>
      <c r="AI19" s="1314" t="e">
        <f t="shared" si="20"/>
        <v>#N/A</v>
      </c>
      <c r="AJ19" s="1314" t="e">
        <f t="shared" si="21"/>
        <v>#N/A</v>
      </c>
      <c r="AK19" s="1314" t="e">
        <f t="shared" si="22"/>
        <v>#N/A</v>
      </c>
      <c r="AL19" s="1314" t="e">
        <f t="shared" si="23"/>
        <v>#N/A</v>
      </c>
      <c r="AM19" s="1314" t="e">
        <f t="shared" si="24"/>
        <v>#N/A</v>
      </c>
      <c r="AN19" s="1314" t="e">
        <f t="shared" si="25"/>
        <v>#N/A</v>
      </c>
      <c r="AO19" s="1314" t="e">
        <f t="shared" si="26"/>
        <v>#N/A</v>
      </c>
      <c r="AP19" s="1314" t="e">
        <f t="shared" si="27"/>
        <v>#N/A</v>
      </c>
      <c r="AQ19" s="1314" t="e">
        <f t="shared" si="28"/>
        <v>#N/A</v>
      </c>
      <c r="AR19" s="1314" t="e">
        <f t="shared" si="29"/>
        <v>#N/A</v>
      </c>
      <c r="AS19" s="1314" t="e">
        <f t="shared" si="30"/>
        <v>#N/A</v>
      </c>
      <c r="AT19" s="1314" t="e">
        <f t="shared" si="31"/>
        <v>#N/A</v>
      </c>
      <c r="AU19" s="1314" t="e">
        <f t="shared" si="32"/>
        <v>#N/A</v>
      </c>
      <c r="AV19" s="1314" t="e">
        <f t="shared" si="33"/>
        <v>#N/A</v>
      </c>
      <c r="AW19" s="1314" t="e">
        <f t="shared" si="34"/>
        <v>#N/A</v>
      </c>
      <c r="AX19" s="1314" t="e">
        <f t="shared" si="35"/>
        <v>#N/A</v>
      </c>
      <c r="AY19" s="1314" t="e">
        <f t="shared" si="36"/>
        <v>#N/A</v>
      </c>
      <c r="AZ19" s="1314" t="e">
        <f t="shared" si="37"/>
        <v>#N/A</v>
      </c>
      <c r="BA19" s="1314" t="e">
        <f t="shared" si="38"/>
        <v>#N/A</v>
      </c>
      <c r="BB19" s="1314" t="e">
        <f t="shared" si="39"/>
        <v>#N/A</v>
      </c>
      <c r="BC19" s="1314" t="e">
        <f t="shared" si="40"/>
        <v>#N/A</v>
      </c>
      <c r="BD19" s="1314" t="e">
        <f t="shared" si="41"/>
        <v>#N/A</v>
      </c>
      <c r="BE19" s="1314" t="e">
        <f t="shared" si="42"/>
        <v>#N/A</v>
      </c>
      <c r="BF19" s="1314" t="e">
        <f t="shared" si="43"/>
        <v>#N/A</v>
      </c>
      <c r="BG19" s="1314" t="e">
        <f t="shared" si="44"/>
        <v>#N/A</v>
      </c>
      <c r="BH19" s="1314" t="e">
        <f t="shared" si="45"/>
        <v>#N/A</v>
      </c>
      <c r="BI19" s="1314" t="e">
        <f t="shared" si="46"/>
        <v>#N/A</v>
      </c>
      <c r="BJ19" s="1314" t="e">
        <f t="shared" si="47"/>
        <v>#N/A</v>
      </c>
      <c r="BK19" s="1314" t="e">
        <f t="shared" si="48"/>
        <v>#N/A</v>
      </c>
      <c r="BL19" s="1314" t="e">
        <f t="shared" si="49"/>
        <v>#N/A</v>
      </c>
      <c r="BM19" s="1314" t="e">
        <f t="shared" si="50"/>
        <v>#N/A</v>
      </c>
      <c r="BN19" s="1314" t="e">
        <f t="shared" si="51"/>
        <v>#N/A</v>
      </c>
      <c r="BO19" s="1314" t="e">
        <f t="shared" si="52"/>
        <v>#N/A</v>
      </c>
      <c r="BP19" s="1314" t="e">
        <f t="shared" si="53"/>
        <v>#N/A</v>
      </c>
      <c r="BQ19" s="1314" t="e">
        <f t="shared" si="54"/>
        <v>#N/A</v>
      </c>
      <c r="BR19" s="1314" t="e">
        <f t="shared" si="55"/>
        <v>#N/A</v>
      </c>
      <c r="BS19" s="1314" t="e">
        <f t="shared" si="56"/>
        <v>#N/A</v>
      </c>
      <c r="BT19" s="1314" t="e">
        <f t="shared" si="57"/>
        <v>#N/A</v>
      </c>
      <c r="BU19" s="1314" t="e">
        <f t="shared" si="58"/>
        <v>#N/A</v>
      </c>
      <c r="BV19" s="1314" t="e">
        <f t="shared" si="59"/>
        <v>#N/A</v>
      </c>
      <c r="BW19" s="1314" t="e">
        <f t="shared" si="60"/>
        <v>#N/A</v>
      </c>
      <c r="BX19" s="1314" t="e">
        <f t="shared" si="61"/>
        <v>#N/A</v>
      </c>
      <c r="BY19" s="1314" t="e">
        <f t="shared" si="62"/>
        <v>#N/A</v>
      </c>
      <c r="BZ19" s="1315"/>
      <c r="CA19" s="1315"/>
      <c r="CB19" s="1315"/>
      <c r="CC19" s="1315"/>
      <c r="CD19" s="1315"/>
      <c r="CE19" s="1315"/>
      <c r="CF19" s="1315"/>
      <c r="CG19" s="1315"/>
      <c r="CH19" s="1315"/>
      <c r="CI19" s="1315"/>
      <c r="CJ19" s="1315"/>
      <c r="CK19" s="1315"/>
      <c r="CL19" s="1315"/>
      <c r="CM19" s="1315"/>
      <c r="CN19" s="1315"/>
      <c r="CO19" s="1315"/>
      <c r="CP19" s="1315"/>
      <c r="CQ19" s="1315"/>
      <c r="CR19" s="1315"/>
      <c r="CS19" s="1315"/>
      <c r="CT19" s="1315"/>
      <c r="CU19" s="1315"/>
      <c r="CV19" s="1315"/>
      <c r="CW19" s="1315"/>
      <c r="CX19" s="1315"/>
      <c r="CY19" s="1315"/>
      <c r="CZ19" s="1315"/>
      <c r="DA19" s="1315"/>
      <c r="DB19" s="1315"/>
      <c r="DC19" s="1315"/>
      <c r="DD19" s="1315"/>
      <c r="DE19" s="1315"/>
      <c r="DF19" s="1315"/>
      <c r="DG19" s="1315"/>
      <c r="DH19" s="1315"/>
      <c r="DI19" s="1315"/>
      <c r="DJ19" s="1315"/>
      <c r="DK19" s="1315"/>
      <c r="DL19" s="1315"/>
      <c r="DM19" s="1315"/>
      <c r="DN19" s="1315"/>
      <c r="DO19" s="1315"/>
      <c r="DP19" s="1315"/>
      <c r="DQ19" s="1315"/>
      <c r="DR19" s="1315"/>
      <c r="DS19" s="1315"/>
      <c r="DT19" s="1315"/>
      <c r="DU19" s="1315"/>
      <c r="DV19" s="1315"/>
      <c r="DW19" s="1315"/>
      <c r="DX19" s="1315"/>
      <c r="DY19" s="1315"/>
      <c r="DZ19" s="1315"/>
      <c r="EA19" s="1315"/>
      <c r="EB19" s="1315"/>
      <c r="EC19" s="1315"/>
      <c r="ED19" s="1315"/>
      <c r="EE19" s="1315"/>
      <c r="EF19" s="1315"/>
      <c r="EG19" s="1315"/>
      <c r="EH19" s="1315"/>
      <c r="EI19" s="1315"/>
      <c r="EJ19" s="1315"/>
      <c r="EK19" s="1315"/>
      <c r="EL19" s="1315"/>
      <c r="EM19" s="1315"/>
      <c r="EN19" s="1315"/>
      <c r="EO19" s="1315"/>
      <c r="EP19" s="1315"/>
      <c r="EQ19" s="1315"/>
      <c r="ER19" s="1315"/>
      <c r="ES19" s="1315"/>
      <c r="ET19" s="1315"/>
      <c r="EU19" s="1315"/>
      <c r="EV19" s="1315"/>
      <c r="EW19" s="1315"/>
      <c r="EX19" s="1315"/>
      <c r="EY19" s="1315"/>
      <c r="EZ19" s="1315"/>
      <c r="FA19" s="1315"/>
      <c r="FB19" s="1315"/>
      <c r="FC19" s="1315"/>
      <c r="FD19" s="1315"/>
      <c r="FE19" s="1315"/>
      <c r="FF19" s="1315"/>
      <c r="FG19" s="1315"/>
      <c r="FH19" s="1315"/>
      <c r="FI19" s="1315"/>
      <c r="FJ19" s="1315"/>
      <c r="FK19" s="1315"/>
      <c r="FL19" s="1315"/>
      <c r="FM19" s="1315"/>
      <c r="FN19" s="1315"/>
      <c r="FO19" s="1315"/>
      <c r="FP19" s="1315"/>
      <c r="FQ19" s="1315"/>
      <c r="FR19" s="1315"/>
      <c r="FS19" s="1315"/>
      <c r="FT19" s="1315"/>
      <c r="FU19" s="1315"/>
      <c r="FV19" s="1315"/>
      <c r="FW19" s="1315"/>
      <c r="FX19" s="1315"/>
      <c r="FY19" s="1315"/>
      <c r="FZ19" s="1315"/>
      <c r="GA19" s="1315"/>
      <c r="GB19" s="1315"/>
      <c r="GC19" s="1315"/>
      <c r="GD19" s="1315"/>
      <c r="GE19" s="1315"/>
      <c r="GF19" s="1315"/>
      <c r="GG19" s="1315"/>
      <c r="GH19" s="1315"/>
      <c r="GI19" s="1315"/>
      <c r="GJ19" s="1315"/>
      <c r="GK19" s="1315"/>
      <c r="GL19" s="1315"/>
      <c r="GM19" s="1315"/>
      <c r="GN19" s="1315"/>
      <c r="GO19" s="1315"/>
      <c r="GP19" s="1315"/>
      <c r="GQ19" s="1315"/>
      <c r="GR19" s="1315"/>
      <c r="GS19" s="1315"/>
      <c r="GT19" s="1315"/>
      <c r="GU19" s="1315"/>
      <c r="GV19" s="1315"/>
      <c r="GW19" s="1315"/>
      <c r="GX19" s="1315"/>
      <c r="GY19" s="1315"/>
      <c r="GZ19" s="1315"/>
      <c r="HA19" s="1315"/>
      <c r="HB19" s="1315"/>
      <c r="HC19" s="1315"/>
      <c r="HD19" s="1315"/>
      <c r="HE19" s="1315"/>
      <c r="HF19" s="1315"/>
      <c r="HG19" s="1315"/>
      <c r="HH19" s="1315"/>
      <c r="HI19" s="1315"/>
      <c r="HJ19" s="1315"/>
      <c r="HK19" s="1315"/>
      <c r="HL19" s="1315"/>
      <c r="HM19" s="1315"/>
      <c r="HN19" s="1315"/>
      <c r="HO19" s="1315"/>
      <c r="HP19" s="1315"/>
      <c r="HQ19" s="1315"/>
      <c r="HR19" s="1315"/>
      <c r="HS19" s="1315"/>
      <c r="HT19" s="1315"/>
      <c r="HU19" s="1315"/>
      <c r="HV19" s="1315"/>
      <c r="HW19" s="1315"/>
      <c r="HX19" s="1315"/>
      <c r="HY19" s="1315"/>
      <c r="HZ19" s="1315"/>
      <c r="IA19" s="1315"/>
      <c r="IB19" s="1315"/>
      <c r="IC19" s="1315"/>
      <c r="ID19" s="1315"/>
      <c r="IE19" s="1315"/>
      <c r="IF19" s="1315"/>
      <c r="IG19" s="1315"/>
      <c r="IH19" s="1315"/>
      <c r="II19" s="1315"/>
      <c r="IJ19" s="1315"/>
    </row>
    <row r="20" spans="1:244" s="53" customFormat="1" ht="12" x14ac:dyDescent="0.2">
      <c r="A20" s="444">
        <v>9</v>
      </c>
      <c r="B20" s="1312">
        <v>3218</v>
      </c>
      <c r="C20" s="1313">
        <v>18000</v>
      </c>
      <c r="D20" s="1313">
        <f t="shared" si="63"/>
        <v>18720</v>
      </c>
      <c r="E20" s="1313">
        <f t="shared" si="10"/>
        <v>19525</v>
      </c>
      <c r="F20" s="1313">
        <f t="shared" si="10"/>
        <v>20111</v>
      </c>
      <c r="G20" s="1313">
        <f t="shared" si="10"/>
        <v>20856</v>
      </c>
      <c r="H20" s="1313">
        <f t="shared" si="10"/>
        <v>21691</v>
      </c>
      <c r="I20" s="1313">
        <f t="shared" si="10"/>
        <v>22559</v>
      </c>
      <c r="J20" s="1314">
        <f t="shared" si="10"/>
        <v>23462</v>
      </c>
      <c r="K20" s="1314" t="e">
        <f t="shared" si="10"/>
        <v>#N/A</v>
      </c>
      <c r="L20" s="1314" t="e">
        <f t="shared" si="10"/>
        <v>#N/A</v>
      </c>
      <c r="M20" s="1314" t="e">
        <f t="shared" si="10"/>
        <v>#N/A</v>
      </c>
      <c r="N20" s="1314" t="e">
        <f t="shared" si="10"/>
        <v>#N/A</v>
      </c>
      <c r="O20" s="1314" t="e">
        <f t="shared" si="10"/>
        <v>#N/A</v>
      </c>
      <c r="P20" s="1314" t="e">
        <f t="shared" si="10"/>
        <v>#N/A</v>
      </c>
      <c r="Q20" s="1314" t="e">
        <f t="shared" si="10"/>
        <v>#N/A</v>
      </c>
      <c r="R20" s="1314" t="e">
        <f t="shared" si="10"/>
        <v>#N/A</v>
      </c>
      <c r="S20" s="1314" t="e">
        <f t="shared" si="10"/>
        <v>#N/A</v>
      </c>
      <c r="T20" s="1314" t="e">
        <f t="shared" si="10"/>
        <v>#N/A</v>
      </c>
      <c r="U20" s="1314" t="e">
        <f t="shared" si="10"/>
        <v>#N/A</v>
      </c>
      <c r="V20" s="1314" t="e">
        <f t="shared" si="10"/>
        <v>#N/A</v>
      </c>
      <c r="W20" s="1314" t="e">
        <f t="shared" si="10"/>
        <v>#N/A</v>
      </c>
      <c r="X20" s="1314" t="e">
        <f t="shared" si="10"/>
        <v>#N/A</v>
      </c>
      <c r="Y20" s="1314" t="e">
        <f t="shared" si="10"/>
        <v>#N/A</v>
      </c>
      <c r="Z20" s="1314" t="e">
        <f t="shared" si="11"/>
        <v>#N/A</v>
      </c>
      <c r="AA20" s="1314" t="e">
        <f t="shared" si="12"/>
        <v>#N/A</v>
      </c>
      <c r="AB20" s="1314" t="e">
        <f t="shared" si="13"/>
        <v>#N/A</v>
      </c>
      <c r="AC20" s="1314" t="e">
        <f t="shared" si="14"/>
        <v>#N/A</v>
      </c>
      <c r="AD20" s="1314" t="e">
        <f t="shared" si="15"/>
        <v>#N/A</v>
      </c>
      <c r="AE20" s="1314" t="e">
        <f t="shared" si="16"/>
        <v>#N/A</v>
      </c>
      <c r="AF20" s="1314" t="e">
        <f t="shared" si="17"/>
        <v>#N/A</v>
      </c>
      <c r="AG20" s="1314" t="e">
        <f t="shared" si="18"/>
        <v>#N/A</v>
      </c>
      <c r="AH20" s="1314" t="e">
        <f t="shared" si="19"/>
        <v>#N/A</v>
      </c>
      <c r="AI20" s="1314" t="e">
        <f t="shared" si="20"/>
        <v>#N/A</v>
      </c>
      <c r="AJ20" s="1314" t="e">
        <f t="shared" si="21"/>
        <v>#N/A</v>
      </c>
      <c r="AK20" s="1314" t="e">
        <f t="shared" si="22"/>
        <v>#N/A</v>
      </c>
      <c r="AL20" s="1314" t="e">
        <f t="shared" si="23"/>
        <v>#N/A</v>
      </c>
      <c r="AM20" s="1314" t="e">
        <f t="shared" si="24"/>
        <v>#N/A</v>
      </c>
      <c r="AN20" s="1314" t="e">
        <f t="shared" si="25"/>
        <v>#N/A</v>
      </c>
      <c r="AO20" s="1314" t="e">
        <f t="shared" si="26"/>
        <v>#N/A</v>
      </c>
      <c r="AP20" s="1314" t="e">
        <f t="shared" si="27"/>
        <v>#N/A</v>
      </c>
      <c r="AQ20" s="1314" t="e">
        <f t="shared" si="28"/>
        <v>#N/A</v>
      </c>
      <c r="AR20" s="1314" t="e">
        <f t="shared" si="29"/>
        <v>#N/A</v>
      </c>
      <c r="AS20" s="1314" t="e">
        <f t="shared" si="30"/>
        <v>#N/A</v>
      </c>
      <c r="AT20" s="1314" t="e">
        <f t="shared" si="31"/>
        <v>#N/A</v>
      </c>
      <c r="AU20" s="1314" t="e">
        <f t="shared" si="32"/>
        <v>#N/A</v>
      </c>
      <c r="AV20" s="1314" t="e">
        <f t="shared" si="33"/>
        <v>#N/A</v>
      </c>
      <c r="AW20" s="1314" t="e">
        <f t="shared" si="34"/>
        <v>#N/A</v>
      </c>
      <c r="AX20" s="1314" t="e">
        <f t="shared" si="35"/>
        <v>#N/A</v>
      </c>
      <c r="AY20" s="1314" t="e">
        <f t="shared" si="36"/>
        <v>#N/A</v>
      </c>
      <c r="AZ20" s="1314" t="e">
        <f t="shared" si="37"/>
        <v>#N/A</v>
      </c>
      <c r="BA20" s="1314" t="e">
        <f t="shared" si="38"/>
        <v>#N/A</v>
      </c>
      <c r="BB20" s="1314" t="e">
        <f t="shared" si="39"/>
        <v>#N/A</v>
      </c>
      <c r="BC20" s="1314" t="e">
        <f t="shared" si="40"/>
        <v>#N/A</v>
      </c>
      <c r="BD20" s="1314" t="e">
        <f t="shared" si="41"/>
        <v>#N/A</v>
      </c>
      <c r="BE20" s="1314" t="e">
        <f t="shared" si="42"/>
        <v>#N/A</v>
      </c>
      <c r="BF20" s="1314" t="e">
        <f t="shared" si="43"/>
        <v>#N/A</v>
      </c>
      <c r="BG20" s="1314" t="e">
        <f t="shared" si="44"/>
        <v>#N/A</v>
      </c>
      <c r="BH20" s="1314" t="e">
        <f t="shared" si="45"/>
        <v>#N/A</v>
      </c>
      <c r="BI20" s="1314" t="e">
        <f t="shared" si="46"/>
        <v>#N/A</v>
      </c>
      <c r="BJ20" s="1314" t="e">
        <f t="shared" si="47"/>
        <v>#N/A</v>
      </c>
      <c r="BK20" s="1314" t="e">
        <f t="shared" si="48"/>
        <v>#N/A</v>
      </c>
      <c r="BL20" s="1314" t="e">
        <f t="shared" si="49"/>
        <v>#N/A</v>
      </c>
      <c r="BM20" s="1314" t="e">
        <f t="shared" si="50"/>
        <v>#N/A</v>
      </c>
      <c r="BN20" s="1314" t="e">
        <f t="shared" si="51"/>
        <v>#N/A</v>
      </c>
      <c r="BO20" s="1314" t="e">
        <f t="shared" si="52"/>
        <v>#N/A</v>
      </c>
      <c r="BP20" s="1314" t="e">
        <f t="shared" si="53"/>
        <v>#N/A</v>
      </c>
      <c r="BQ20" s="1314" t="e">
        <f t="shared" si="54"/>
        <v>#N/A</v>
      </c>
      <c r="BR20" s="1314" t="e">
        <f t="shared" si="55"/>
        <v>#N/A</v>
      </c>
      <c r="BS20" s="1314" t="e">
        <f t="shared" si="56"/>
        <v>#N/A</v>
      </c>
      <c r="BT20" s="1314" t="e">
        <f t="shared" si="57"/>
        <v>#N/A</v>
      </c>
      <c r="BU20" s="1314" t="e">
        <f t="shared" si="58"/>
        <v>#N/A</v>
      </c>
      <c r="BV20" s="1314" t="e">
        <f t="shared" si="59"/>
        <v>#N/A</v>
      </c>
      <c r="BW20" s="1314" t="e">
        <f t="shared" si="60"/>
        <v>#N/A</v>
      </c>
      <c r="BX20" s="1314" t="e">
        <f t="shared" si="61"/>
        <v>#N/A</v>
      </c>
      <c r="BY20" s="1314" t="e">
        <f t="shared" si="62"/>
        <v>#N/A</v>
      </c>
      <c r="BZ20" s="1315"/>
      <c r="CA20" s="1315"/>
      <c r="CB20" s="1315"/>
      <c r="CC20" s="1315"/>
      <c r="CD20" s="1315"/>
      <c r="CE20" s="1315"/>
      <c r="CF20" s="1315"/>
      <c r="CG20" s="1315"/>
      <c r="CH20" s="1315"/>
      <c r="CI20" s="1315"/>
      <c r="CJ20" s="1315"/>
      <c r="CK20" s="1315"/>
      <c r="CL20" s="1315"/>
      <c r="CM20" s="1315"/>
      <c r="CN20" s="1315"/>
      <c r="CO20" s="1315"/>
      <c r="CP20" s="1315"/>
      <c r="CQ20" s="1315"/>
      <c r="CR20" s="1315"/>
      <c r="CS20" s="1315"/>
      <c r="CT20" s="1315"/>
      <c r="CU20" s="1315"/>
      <c r="CV20" s="1315"/>
      <c r="CW20" s="1315"/>
      <c r="CX20" s="1315"/>
      <c r="CY20" s="1315"/>
      <c r="CZ20" s="1315"/>
      <c r="DA20" s="1315"/>
      <c r="DB20" s="1315"/>
      <c r="DC20" s="1315"/>
      <c r="DD20" s="1315"/>
      <c r="DE20" s="1315"/>
      <c r="DF20" s="1315"/>
      <c r="DG20" s="1315"/>
      <c r="DH20" s="1315"/>
      <c r="DI20" s="1315"/>
      <c r="DJ20" s="1315"/>
      <c r="DK20" s="1315"/>
      <c r="DL20" s="1315"/>
      <c r="DM20" s="1315"/>
      <c r="DN20" s="1315"/>
      <c r="DO20" s="1315"/>
      <c r="DP20" s="1315"/>
      <c r="DQ20" s="1315"/>
      <c r="DR20" s="1315"/>
      <c r="DS20" s="1315"/>
      <c r="DT20" s="1315"/>
      <c r="DU20" s="1315"/>
      <c r="DV20" s="1315"/>
      <c r="DW20" s="1315"/>
      <c r="DX20" s="1315"/>
      <c r="DY20" s="1315"/>
      <c r="DZ20" s="1315"/>
      <c r="EA20" s="1315"/>
      <c r="EB20" s="1315"/>
      <c r="EC20" s="1315"/>
      <c r="ED20" s="1315"/>
      <c r="EE20" s="1315"/>
      <c r="EF20" s="1315"/>
      <c r="EG20" s="1315"/>
      <c r="EH20" s="1315"/>
      <c r="EI20" s="1315"/>
      <c r="EJ20" s="1315"/>
      <c r="EK20" s="1315"/>
      <c r="EL20" s="1315"/>
      <c r="EM20" s="1315"/>
      <c r="EN20" s="1315"/>
      <c r="EO20" s="1315"/>
      <c r="EP20" s="1315"/>
      <c r="EQ20" s="1315"/>
      <c r="ER20" s="1315"/>
      <c r="ES20" s="1315"/>
      <c r="ET20" s="1315"/>
      <c r="EU20" s="1315"/>
      <c r="EV20" s="1315"/>
      <c r="EW20" s="1315"/>
      <c r="EX20" s="1315"/>
      <c r="EY20" s="1315"/>
      <c r="EZ20" s="1315"/>
      <c r="FA20" s="1315"/>
      <c r="FB20" s="1315"/>
      <c r="FC20" s="1315"/>
      <c r="FD20" s="1315"/>
      <c r="FE20" s="1315"/>
      <c r="FF20" s="1315"/>
      <c r="FG20" s="1315"/>
      <c r="FH20" s="1315"/>
      <c r="FI20" s="1315"/>
      <c r="FJ20" s="1315"/>
      <c r="FK20" s="1315"/>
      <c r="FL20" s="1315"/>
      <c r="FM20" s="1315"/>
      <c r="FN20" s="1315"/>
      <c r="FO20" s="1315"/>
      <c r="FP20" s="1315"/>
      <c r="FQ20" s="1315"/>
      <c r="FR20" s="1315"/>
      <c r="FS20" s="1315"/>
      <c r="FT20" s="1315"/>
      <c r="FU20" s="1315"/>
      <c r="FV20" s="1315"/>
      <c r="FW20" s="1315"/>
      <c r="FX20" s="1315"/>
      <c r="FY20" s="1315"/>
      <c r="FZ20" s="1315"/>
      <c r="GA20" s="1315"/>
      <c r="GB20" s="1315"/>
      <c r="GC20" s="1315"/>
      <c r="GD20" s="1315"/>
      <c r="GE20" s="1315"/>
      <c r="GF20" s="1315"/>
      <c r="GG20" s="1315"/>
      <c r="GH20" s="1315"/>
      <c r="GI20" s="1315"/>
      <c r="GJ20" s="1315"/>
      <c r="GK20" s="1315"/>
      <c r="GL20" s="1315"/>
      <c r="GM20" s="1315"/>
      <c r="GN20" s="1315"/>
      <c r="GO20" s="1315"/>
      <c r="GP20" s="1315"/>
      <c r="GQ20" s="1315"/>
      <c r="GR20" s="1315"/>
      <c r="GS20" s="1315"/>
      <c r="GT20" s="1315"/>
      <c r="GU20" s="1315"/>
      <c r="GV20" s="1315"/>
      <c r="GW20" s="1315"/>
      <c r="GX20" s="1315"/>
      <c r="GY20" s="1315"/>
      <c r="GZ20" s="1315"/>
      <c r="HA20" s="1315"/>
      <c r="HB20" s="1315"/>
      <c r="HC20" s="1315"/>
      <c r="HD20" s="1315"/>
      <c r="HE20" s="1315"/>
      <c r="HF20" s="1315"/>
      <c r="HG20" s="1315"/>
      <c r="HH20" s="1315"/>
      <c r="HI20" s="1315"/>
      <c r="HJ20" s="1315"/>
      <c r="HK20" s="1315"/>
      <c r="HL20" s="1315"/>
      <c r="HM20" s="1315"/>
      <c r="HN20" s="1315"/>
      <c r="HO20" s="1315"/>
      <c r="HP20" s="1315"/>
      <c r="HQ20" s="1315"/>
      <c r="HR20" s="1315"/>
      <c r="HS20" s="1315"/>
      <c r="HT20" s="1315"/>
      <c r="HU20" s="1315"/>
      <c r="HV20" s="1315"/>
      <c r="HW20" s="1315"/>
      <c r="HX20" s="1315"/>
      <c r="HY20" s="1315"/>
      <c r="HZ20" s="1315"/>
      <c r="IA20" s="1315"/>
      <c r="IB20" s="1315"/>
      <c r="IC20" s="1315"/>
      <c r="ID20" s="1315"/>
      <c r="IE20" s="1315"/>
      <c r="IF20" s="1315"/>
      <c r="IG20" s="1315"/>
      <c r="IH20" s="1315"/>
      <c r="II20" s="1315"/>
      <c r="IJ20" s="1315"/>
    </row>
    <row r="21" spans="1:244" s="53" customFormat="1" ht="12" x14ac:dyDescent="0.2">
      <c r="A21" s="444">
        <v>10</v>
      </c>
      <c r="B21" s="1312">
        <v>3551</v>
      </c>
      <c r="C21" s="1313">
        <v>20000</v>
      </c>
      <c r="D21" s="1313">
        <f t="shared" si="63"/>
        <v>20800</v>
      </c>
      <c r="E21" s="1313">
        <f t="shared" si="10"/>
        <v>21695</v>
      </c>
      <c r="F21" s="1313">
        <f t="shared" si="10"/>
        <v>22346</v>
      </c>
      <c r="G21" s="1313">
        <f t="shared" si="10"/>
        <v>23173</v>
      </c>
      <c r="H21" s="1313">
        <f t="shared" si="10"/>
        <v>24100</v>
      </c>
      <c r="I21" s="1313">
        <f t="shared" si="10"/>
        <v>25064</v>
      </c>
      <c r="J21" s="1314">
        <f t="shared" si="10"/>
        <v>26067</v>
      </c>
      <c r="K21" s="1314" t="e">
        <f t="shared" si="10"/>
        <v>#N/A</v>
      </c>
      <c r="L21" s="1314" t="e">
        <f t="shared" si="10"/>
        <v>#N/A</v>
      </c>
      <c r="M21" s="1314" t="e">
        <f t="shared" si="10"/>
        <v>#N/A</v>
      </c>
      <c r="N21" s="1314" t="e">
        <f t="shared" si="10"/>
        <v>#N/A</v>
      </c>
      <c r="O21" s="1314" t="e">
        <f t="shared" si="10"/>
        <v>#N/A</v>
      </c>
      <c r="P21" s="1314" t="e">
        <f t="shared" si="10"/>
        <v>#N/A</v>
      </c>
      <c r="Q21" s="1314" t="e">
        <f t="shared" si="10"/>
        <v>#N/A</v>
      </c>
      <c r="R21" s="1314" t="e">
        <f t="shared" si="10"/>
        <v>#N/A</v>
      </c>
      <c r="S21" s="1314" t="e">
        <f t="shared" si="10"/>
        <v>#N/A</v>
      </c>
      <c r="T21" s="1314" t="e">
        <f t="shared" si="10"/>
        <v>#N/A</v>
      </c>
      <c r="U21" s="1314" t="e">
        <f t="shared" si="10"/>
        <v>#N/A</v>
      </c>
      <c r="V21" s="1314" t="e">
        <f t="shared" si="10"/>
        <v>#N/A</v>
      </c>
      <c r="W21" s="1314" t="e">
        <f t="shared" si="10"/>
        <v>#N/A</v>
      </c>
      <c r="X21" s="1314" t="e">
        <f t="shared" si="10"/>
        <v>#N/A</v>
      </c>
      <c r="Y21" s="1314" t="e">
        <f t="shared" si="10"/>
        <v>#N/A</v>
      </c>
      <c r="Z21" s="1314" t="e">
        <f t="shared" si="11"/>
        <v>#N/A</v>
      </c>
      <c r="AA21" s="1314" t="e">
        <f t="shared" si="12"/>
        <v>#N/A</v>
      </c>
      <c r="AB21" s="1314" t="e">
        <f t="shared" si="13"/>
        <v>#N/A</v>
      </c>
      <c r="AC21" s="1314" t="e">
        <f t="shared" si="14"/>
        <v>#N/A</v>
      </c>
      <c r="AD21" s="1314" t="e">
        <f t="shared" si="15"/>
        <v>#N/A</v>
      </c>
      <c r="AE21" s="1314" t="e">
        <f t="shared" si="16"/>
        <v>#N/A</v>
      </c>
      <c r="AF21" s="1314" t="e">
        <f t="shared" si="17"/>
        <v>#N/A</v>
      </c>
      <c r="AG21" s="1314" t="e">
        <f t="shared" si="18"/>
        <v>#N/A</v>
      </c>
      <c r="AH21" s="1314" t="e">
        <f t="shared" si="19"/>
        <v>#N/A</v>
      </c>
      <c r="AI21" s="1314" t="e">
        <f t="shared" si="20"/>
        <v>#N/A</v>
      </c>
      <c r="AJ21" s="1314" t="e">
        <f t="shared" si="21"/>
        <v>#N/A</v>
      </c>
      <c r="AK21" s="1314" t="e">
        <f t="shared" si="22"/>
        <v>#N/A</v>
      </c>
      <c r="AL21" s="1314" t="e">
        <f t="shared" si="23"/>
        <v>#N/A</v>
      </c>
      <c r="AM21" s="1314" t="e">
        <f t="shared" si="24"/>
        <v>#N/A</v>
      </c>
      <c r="AN21" s="1314" t="e">
        <f t="shared" si="25"/>
        <v>#N/A</v>
      </c>
      <c r="AO21" s="1314" t="e">
        <f t="shared" si="26"/>
        <v>#N/A</v>
      </c>
      <c r="AP21" s="1314" t="e">
        <f t="shared" si="27"/>
        <v>#N/A</v>
      </c>
      <c r="AQ21" s="1314" t="e">
        <f t="shared" si="28"/>
        <v>#N/A</v>
      </c>
      <c r="AR21" s="1314" t="e">
        <f t="shared" si="29"/>
        <v>#N/A</v>
      </c>
      <c r="AS21" s="1314" t="e">
        <f t="shared" si="30"/>
        <v>#N/A</v>
      </c>
      <c r="AT21" s="1314" t="e">
        <f t="shared" si="31"/>
        <v>#N/A</v>
      </c>
      <c r="AU21" s="1314" t="e">
        <f t="shared" si="32"/>
        <v>#N/A</v>
      </c>
      <c r="AV21" s="1314" t="e">
        <f t="shared" si="33"/>
        <v>#N/A</v>
      </c>
      <c r="AW21" s="1314" t="e">
        <f t="shared" si="34"/>
        <v>#N/A</v>
      </c>
      <c r="AX21" s="1314" t="e">
        <f t="shared" si="35"/>
        <v>#N/A</v>
      </c>
      <c r="AY21" s="1314" t="e">
        <f t="shared" si="36"/>
        <v>#N/A</v>
      </c>
      <c r="AZ21" s="1314" t="e">
        <f t="shared" si="37"/>
        <v>#N/A</v>
      </c>
      <c r="BA21" s="1314" t="e">
        <f t="shared" si="38"/>
        <v>#N/A</v>
      </c>
      <c r="BB21" s="1314" t="e">
        <f t="shared" si="39"/>
        <v>#N/A</v>
      </c>
      <c r="BC21" s="1314" t="e">
        <f t="shared" si="40"/>
        <v>#N/A</v>
      </c>
      <c r="BD21" s="1314" t="e">
        <f t="shared" si="41"/>
        <v>#N/A</v>
      </c>
      <c r="BE21" s="1314" t="e">
        <f t="shared" si="42"/>
        <v>#N/A</v>
      </c>
      <c r="BF21" s="1314" t="e">
        <f t="shared" si="43"/>
        <v>#N/A</v>
      </c>
      <c r="BG21" s="1314" t="e">
        <f t="shared" si="44"/>
        <v>#N/A</v>
      </c>
      <c r="BH21" s="1314" t="e">
        <f t="shared" si="45"/>
        <v>#N/A</v>
      </c>
      <c r="BI21" s="1314" t="e">
        <f t="shared" si="46"/>
        <v>#N/A</v>
      </c>
      <c r="BJ21" s="1314" t="e">
        <f t="shared" si="47"/>
        <v>#N/A</v>
      </c>
      <c r="BK21" s="1314" t="e">
        <f t="shared" si="48"/>
        <v>#N/A</v>
      </c>
      <c r="BL21" s="1314" t="e">
        <f t="shared" si="49"/>
        <v>#N/A</v>
      </c>
      <c r="BM21" s="1314" t="e">
        <f t="shared" si="50"/>
        <v>#N/A</v>
      </c>
      <c r="BN21" s="1314" t="e">
        <f t="shared" si="51"/>
        <v>#N/A</v>
      </c>
      <c r="BO21" s="1314" t="e">
        <f t="shared" si="52"/>
        <v>#N/A</v>
      </c>
      <c r="BP21" s="1314" t="e">
        <f t="shared" si="53"/>
        <v>#N/A</v>
      </c>
      <c r="BQ21" s="1314" t="e">
        <f t="shared" si="54"/>
        <v>#N/A</v>
      </c>
      <c r="BR21" s="1314" t="e">
        <f t="shared" si="55"/>
        <v>#N/A</v>
      </c>
      <c r="BS21" s="1314" t="e">
        <f t="shared" si="56"/>
        <v>#N/A</v>
      </c>
      <c r="BT21" s="1314" t="e">
        <f t="shared" si="57"/>
        <v>#N/A</v>
      </c>
      <c r="BU21" s="1314" t="e">
        <f t="shared" si="58"/>
        <v>#N/A</v>
      </c>
      <c r="BV21" s="1314" t="e">
        <f t="shared" si="59"/>
        <v>#N/A</v>
      </c>
      <c r="BW21" s="1314" t="e">
        <f t="shared" si="60"/>
        <v>#N/A</v>
      </c>
      <c r="BX21" s="1314" t="e">
        <f t="shared" si="61"/>
        <v>#N/A</v>
      </c>
      <c r="BY21" s="1314" t="e">
        <f t="shared" si="62"/>
        <v>#N/A</v>
      </c>
      <c r="BZ21" s="1315"/>
      <c r="CA21" s="1315"/>
      <c r="CB21" s="1315"/>
      <c r="CC21" s="1315"/>
      <c r="CD21" s="1315"/>
      <c r="CE21" s="1315"/>
      <c r="CF21" s="1315"/>
      <c r="CG21" s="1315"/>
      <c r="CH21" s="1315"/>
      <c r="CI21" s="1315"/>
      <c r="CJ21" s="1315"/>
      <c r="CK21" s="1315"/>
      <c r="CL21" s="1315"/>
      <c r="CM21" s="1315"/>
      <c r="CN21" s="1315"/>
      <c r="CO21" s="1315"/>
      <c r="CP21" s="1315"/>
      <c r="CQ21" s="1315"/>
      <c r="CR21" s="1315"/>
      <c r="CS21" s="1315"/>
      <c r="CT21" s="1315"/>
      <c r="CU21" s="1315"/>
      <c r="CV21" s="1315"/>
      <c r="CW21" s="1315"/>
      <c r="CX21" s="1315"/>
      <c r="CY21" s="1315"/>
      <c r="CZ21" s="1315"/>
      <c r="DA21" s="1315"/>
      <c r="DB21" s="1315"/>
      <c r="DC21" s="1315"/>
      <c r="DD21" s="1315"/>
      <c r="DE21" s="1315"/>
      <c r="DF21" s="1315"/>
      <c r="DG21" s="1315"/>
      <c r="DH21" s="1315"/>
      <c r="DI21" s="1315"/>
      <c r="DJ21" s="1315"/>
      <c r="DK21" s="1315"/>
      <c r="DL21" s="1315"/>
      <c r="DM21" s="1315"/>
      <c r="DN21" s="1315"/>
      <c r="DO21" s="1315"/>
      <c r="DP21" s="1315"/>
      <c r="DQ21" s="1315"/>
      <c r="DR21" s="1315"/>
      <c r="DS21" s="1315"/>
      <c r="DT21" s="1315"/>
      <c r="DU21" s="1315"/>
      <c r="DV21" s="1315"/>
      <c r="DW21" s="1315"/>
      <c r="DX21" s="1315"/>
      <c r="DY21" s="1315"/>
      <c r="DZ21" s="1315"/>
      <c r="EA21" s="1315"/>
      <c r="EB21" s="1315"/>
      <c r="EC21" s="1315"/>
      <c r="ED21" s="1315"/>
      <c r="EE21" s="1315"/>
      <c r="EF21" s="1315"/>
      <c r="EG21" s="1315"/>
      <c r="EH21" s="1315"/>
      <c r="EI21" s="1315"/>
      <c r="EJ21" s="1315"/>
      <c r="EK21" s="1315"/>
      <c r="EL21" s="1315"/>
      <c r="EM21" s="1315"/>
      <c r="EN21" s="1315"/>
      <c r="EO21" s="1315"/>
      <c r="EP21" s="1315"/>
      <c r="EQ21" s="1315"/>
      <c r="ER21" s="1315"/>
      <c r="ES21" s="1315"/>
      <c r="ET21" s="1315"/>
      <c r="EU21" s="1315"/>
      <c r="EV21" s="1315"/>
      <c r="EW21" s="1315"/>
      <c r="EX21" s="1315"/>
      <c r="EY21" s="1315"/>
      <c r="EZ21" s="1315"/>
      <c r="FA21" s="1315"/>
      <c r="FB21" s="1315"/>
      <c r="FC21" s="1315"/>
      <c r="FD21" s="1315"/>
      <c r="FE21" s="1315"/>
      <c r="FF21" s="1315"/>
      <c r="FG21" s="1315"/>
      <c r="FH21" s="1315"/>
      <c r="FI21" s="1315"/>
      <c r="FJ21" s="1315"/>
      <c r="FK21" s="1315"/>
      <c r="FL21" s="1315"/>
      <c r="FM21" s="1315"/>
      <c r="FN21" s="1315"/>
      <c r="FO21" s="1315"/>
      <c r="FP21" s="1315"/>
      <c r="FQ21" s="1315"/>
      <c r="FR21" s="1315"/>
      <c r="FS21" s="1315"/>
      <c r="FT21" s="1315"/>
      <c r="FU21" s="1315"/>
      <c r="FV21" s="1315"/>
      <c r="FW21" s="1315"/>
      <c r="FX21" s="1315"/>
      <c r="FY21" s="1315"/>
      <c r="FZ21" s="1315"/>
      <c r="GA21" s="1315"/>
      <c r="GB21" s="1315"/>
      <c r="GC21" s="1315"/>
      <c r="GD21" s="1315"/>
      <c r="GE21" s="1315"/>
      <c r="GF21" s="1315"/>
      <c r="GG21" s="1315"/>
      <c r="GH21" s="1315"/>
      <c r="GI21" s="1315"/>
      <c r="GJ21" s="1315"/>
      <c r="GK21" s="1315"/>
      <c r="GL21" s="1315"/>
      <c r="GM21" s="1315"/>
      <c r="GN21" s="1315"/>
      <c r="GO21" s="1315"/>
      <c r="GP21" s="1315"/>
      <c r="GQ21" s="1315"/>
      <c r="GR21" s="1315"/>
      <c r="GS21" s="1315"/>
      <c r="GT21" s="1315"/>
      <c r="GU21" s="1315"/>
      <c r="GV21" s="1315"/>
      <c r="GW21" s="1315"/>
      <c r="GX21" s="1315"/>
      <c r="GY21" s="1315"/>
      <c r="GZ21" s="1315"/>
      <c r="HA21" s="1315"/>
      <c r="HB21" s="1315"/>
      <c r="HC21" s="1315"/>
      <c r="HD21" s="1315"/>
      <c r="HE21" s="1315"/>
      <c r="HF21" s="1315"/>
      <c r="HG21" s="1315"/>
      <c r="HH21" s="1315"/>
      <c r="HI21" s="1315"/>
      <c r="HJ21" s="1315"/>
      <c r="HK21" s="1315"/>
      <c r="HL21" s="1315"/>
      <c r="HM21" s="1315"/>
      <c r="HN21" s="1315"/>
      <c r="HO21" s="1315"/>
      <c r="HP21" s="1315"/>
      <c r="HQ21" s="1315"/>
      <c r="HR21" s="1315"/>
      <c r="HS21" s="1315"/>
      <c r="HT21" s="1315"/>
      <c r="HU21" s="1315"/>
      <c r="HV21" s="1315"/>
      <c r="HW21" s="1315"/>
      <c r="HX21" s="1315"/>
      <c r="HY21" s="1315"/>
      <c r="HZ21" s="1315"/>
      <c r="IA21" s="1315"/>
      <c r="IB21" s="1315"/>
      <c r="IC21" s="1315"/>
      <c r="ID21" s="1315"/>
      <c r="IE21" s="1315"/>
      <c r="IF21" s="1315"/>
      <c r="IG21" s="1315"/>
      <c r="IH21" s="1315"/>
      <c r="II21" s="1315"/>
      <c r="IJ21" s="1315"/>
    </row>
    <row r="22" spans="1:244" s="53" customFormat="1" ht="12" x14ac:dyDescent="0.2">
      <c r="A22" s="444">
        <f>A21+1</f>
        <v>11</v>
      </c>
      <c r="B22" s="1312">
        <v>3661</v>
      </c>
      <c r="C22" s="1313">
        <f>C21+500</f>
        <v>20500</v>
      </c>
      <c r="D22" s="1313">
        <f t="shared" si="9"/>
        <v>21320</v>
      </c>
      <c r="E22" s="1313">
        <f t="shared" ref="E22:Y22" si="64">ROUNDUP(D22*(E$10+1),0)</f>
        <v>22237</v>
      </c>
      <c r="F22" s="1313">
        <f t="shared" si="64"/>
        <v>22905</v>
      </c>
      <c r="G22" s="1313">
        <f t="shared" si="64"/>
        <v>23753</v>
      </c>
      <c r="H22" s="1313">
        <f t="shared" si="64"/>
        <v>24704</v>
      </c>
      <c r="I22" s="1313">
        <f t="shared" si="64"/>
        <v>25693</v>
      </c>
      <c r="J22" s="1314">
        <f t="shared" si="64"/>
        <v>26721</v>
      </c>
      <c r="K22" s="1314" t="e">
        <f t="shared" si="64"/>
        <v>#N/A</v>
      </c>
      <c r="L22" s="1314" t="e">
        <f t="shared" si="64"/>
        <v>#N/A</v>
      </c>
      <c r="M22" s="1314" t="e">
        <f t="shared" si="64"/>
        <v>#N/A</v>
      </c>
      <c r="N22" s="1314" t="e">
        <f t="shared" si="64"/>
        <v>#N/A</v>
      </c>
      <c r="O22" s="1314" t="e">
        <f t="shared" si="64"/>
        <v>#N/A</v>
      </c>
      <c r="P22" s="1314" t="e">
        <f t="shared" si="64"/>
        <v>#N/A</v>
      </c>
      <c r="Q22" s="1314" t="e">
        <f t="shared" si="64"/>
        <v>#N/A</v>
      </c>
      <c r="R22" s="1314" t="e">
        <f t="shared" si="64"/>
        <v>#N/A</v>
      </c>
      <c r="S22" s="1314" t="e">
        <f t="shared" si="64"/>
        <v>#N/A</v>
      </c>
      <c r="T22" s="1314" t="e">
        <f t="shared" si="64"/>
        <v>#N/A</v>
      </c>
      <c r="U22" s="1314" t="e">
        <f t="shared" si="64"/>
        <v>#N/A</v>
      </c>
      <c r="V22" s="1314" t="e">
        <f t="shared" si="64"/>
        <v>#N/A</v>
      </c>
      <c r="W22" s="1314" t="e">
        <f t="shared" si="64"/>
        <v>#N/A</v>
      </c>
      <c r="X22" s="1314" t="e">
        <f t="shared" si="64"/>
        <v>#N/A</v>
      </c>
      <c r="Y22" s="1314" t="e">
        <f t="shared" si="64"/>
        <v>#N/A</v>
      </c>
      <c r="Z22" s="1314" t="e">
        <f t="shared" si="11"/>
        <v>#N/A</v>
      </c>
      <c r="AA22" s="1314" t="e">
        <f t="shared" si="12"/>
        <v>#N/A</v>
      </c>
      <c r="AB22" s="1314" t="e">
        <f t="shared" si="13"/>
        <v>#N/A</v>
      </c>
      <c r="AC22" s="1314" t="e">
        <f t="shared" si="14"/>
        <v>#N/A</v>
      </c>
      <c r="AD22" s="1314" t="e">
        <f t="shared" si="15"/>
        <v>#N/A</v>
      </c>
      <c r="AE22" s="1314" t="e">
        <f t="shared" si="16"/>
        <v>#N/A</v>
      </c>
      <c r="AF22" s="1314" t="e">
        <f t="shared" si="17"/>
        <v>#N/A</v>
      </c>
      <c r="AG22" s="1314" t="e">
        <f t="shared" si="18"/>
        <v>#N/A</v>
      </c>
      <c r="AH22" s="1314" t="e">
        <f t="shared" si="19"/>
        <v>#N/A</v>
      </c>
      <c r="AI22" s="1314" t="e">
        <f t="shared" si="20"/>
        <v>#N/A</v>
      </c>
      <c r="AJ22" s="1314" t="e">
        <f t="shared" si="21"/>
        <v>#N/A</v>
      </c>
      <c r="AK22" s="1314" t="e">
        <f t="shared" si="22"/>
        <v>#N/A</v>
      </c>
      <c r="AL22" s="1314" t="e">
        <f t="shared" si="23"/>
        <v>#N/A</v>
      </c>
      <c r="AM22" s="1314" t="e">
        <f t="shared" si="24"/>
        <v>#N/A</v>
      </c>
      <c r="AN22" s="1314" t="e">
        <f t="shared" si="25"/>
        <v>#N/A</v>
      </c>
      <c r="AO22" s="1314" t="e">
        <f t="shared" si="26"/>
        <v>#N/A</v>
      </c>
      <c r="AP22" s="1314" t="e">
        <f t="shared" si="27"/>
        <v>#N/A</v>
      </c>
      <c r="AQ22" s="1314" t="e">
        <f t="shared" si="28"/>
        <v>#N/A</v>
      </c>
      <c r="AR22" s="1314" t="e">
        <f t="shared" si="29"/>
        <v>#N/A</v>
      </c>
      <c r="AS22" s="1314" t="e">
        <f t="shared" si="30"/>
        <v>#N/A</v>
      </c>
      <c r="AT22" s="1314" t="e">
        <f t="shared" si="31"/>
        <v>#N/A</v>
      </c>
      <c r="AU22" s="1314" t="e">
        <f t="shared" si="32"/>
        <v>#N/A</v>
      </c>
      <c r="AV22" s="1314" t="e">
        <f t="shared" si="33"/>
        <v>#N/A</v>
      </c>
      <c r="AW22" s="1314" t="e">
        <f t="shared" si="34"/>
        <v>#N/A</v>
      </c>
      <c r="AX22" s="1314" t="e">
        <f t="shared" si="35"/>
        <v>#N/A</v>
      </c>
      <c r="AY22" s="1314" t="e">
        <f t="shared" si="36"/>
        <v>#N/A</v>
      </c>
      <c r="AZ22" s="1314" t="e">
        <f t="shared" si="37"/>
        <v>#N/A</v>
      </c>
      <c r="BA22" s="1314" t="e">
        <f t="shared" si="38"/>
        <v>#N/A</v>
      </c>
      <c r="BB22" s="1314" t="e">
        <f t="shared" si="39"/>
        <v>#N/A</v>
      </c>
      <c r="BC22" s="1314" t="e">
        <f t="shared" si="40"/>
        <v>#N/A</v>
      </c>
      <c r="BD22" s="1314" t="e">
        <f t="shared" si="41"/>
        <v>#N/A</v>
      </c>
      <c r="BE22" s="1314" t="e">
        <f t="shared" si="42"/>
        <v>#N/A</v>
      </c>
      <c r="BF22" s="1314" t="e">
        <f t="shared" si="43"/>
        <v>#N/A</v>
      </c>
      <c r="BG22" s="1314" t="e">
        <f t="shared" si="44"/>
        <v>#N/A</v>
      </c>
      <c r="BH22" s="1314" t="e">
        <f t="shared" si="45"/>
        <v>#N/A</v>
      </c>
      <c r="BI22" s="1314" t="e">
        <f t="shared" si="46"/>
        <v>#N/A</v>
      </c>
      <c r="BJ22" s="1314" t="e">
        <f t="shared" si="47"/>
        <v>#N/A</v>
      </c>
      <c r="BK22" s="1314" t="e">
        <f t="shared" si="48"/>
        <v>#N/A</v>
      </c>
      <c r="BL22" s="1314" t="e">
        <f t="shared" si="49"/>
        <v>#N/A</v>
      </c>
      <c r="BM22" s="1314" t="e">
        <f t="shared" si="50"/>
        <v>#N/A</v>
      </c>
      <c r="BN22" s="1314" t="e">
        <f t="shared" si="51"/>
        <v>#N/A</v>
      </c>
      <c r="BO22" s="1314" t="e">
        <f t="shared" si="52"/>
        <v>#N/A</v>
      </c>
      <c r="BP22" s="1314" t="e">
        <f t="shared" si="53"/>
        <v>#N/A</v>
      </c>
      <c r="BQ22" s="1314" t="e">
        <f t="shared" si="54"/>
        <v>#N/A</v>
      </c>
      <c r="BR22" s="1314" t="e">
        <f t="shared" si="55"/>
        <v>#N/A</v>
      </c>
      <c r="BS22" s="1314" t="e">
        <f t="shared" si="56"/>
        <v>#N/A</v>
      </c>
      <c r="BT22" s="1314" t="e">
        <f t="shared" si="57"/>
        <v>#N/A</v>
      </c>
      <c r="BU22" s="1314" t="e">
        <f t="shared" si="58"/>
        <v>#N/A</v>
      </c>
      <c r="BV22" s="1314" t="e">
        <f t="shared" si="59"/>
        <v>#N/A</v>
      </c>
      <c r="BW22" s="1314" t="e">
        <f t="shared" si="60"/>
        <v>#N/A</v>
      </c>
      <c r="BX22" s="1314" t="e">
        <f t="shared" si="61"/>
        <v>#N/A</v>
      </c>
      <c r="BY22" s="1314" t="e">
        <f t="shared" si="62"/>
        <v>#N/A</v>
      </c>
      <c r="BZ22" s="1315"/>
      <c r="CA22" s="1315"/>
      <c r="CB22" s="1315"/>
      <c r="CC22" s="1315"/>
      <c r="CD22" s="1315"/>
      <c r="CE22" s="1315"/>
      <c r="CF22" s="1315"/>
      <c r="CG22" s="1315"/>
      <c r="CH22" s="1315"/>
      <c r="CI22" s="1315"/>
      <c r="CJ22" s="1315"/>
      <c r="CK22" s="1315"/>
      <c r="CL22" s="1315"/>
      <c r="CM22" s="1315"/>
      <c r="CN22" s="1315"/>
      <c r="CO22" s="1315"/>
      <c r="CP22" s="1315"/>
      <c r="CQ22" s="1315"/>
      <c r="CR22" s="1315"/>
      <c r="CS22" s="1315"/>
      <c r="CT22" s="1315"/>
      <c r="CU22" s="1315"/>
      <c r="CV22" s="1315"/>
      <c r="CW22" s="1315"/>
      <c r="CX22" s="1315"/>
      <c r="CY22" s="1315"/>
      <c r="CZ22" s="1315"/>
      <c r="DA22" s="1315"/>
      <c r="DB22" s="1315"/>
      <c r="DC22" s="1315"/>
      <c r="DD22" s="1315"/>
      <c r="DE22" s="1315"/>
      <c r="DF22" s="1315"/>
      <c r="DG22" s="1315"/>
      <c r="DH22" s="1315"/>
      <c r="DI22" s="1315"/>
      <c r="DJ22" s="1315"/>
      <c r="DK22" s="1315"/>
      <c r="DL22" s="1315"/>
      <c r="DM22" s="1315"/>
      <c r="DN22" s="1315"/>
      <c r="DO22" s="1315"/>
      <c r="DP22" s="1315"/>
      <c r="DQ22" s="1315"/>
      <c r="DR22" s="1315"/>
      <c r="DS22" s="1315"/>
      <c r="DT22" s="1315"/>
      <c r="DU22" s="1315"/>
      <c r="DV22" s="1315"/>
      <c r="DW22" s="1315"/>
      <c r="DX22" s="1315"/>
      <c r="DY22" s="1315"/>
      <c r="DZ22" s="1315"/>
      <c r="EA22" s="1315"/>
      <c r="EB22" s="1315"/>
      <c r="EC22" s="1315"/>
      <c r="ED22" s="1315"/>
      <c r="EE22" s="1315"/>
      <c r="EF22" s="1315"/>
      <c r="EG22" s="1315"/>
      <c r="EH22" s="1315"/>
      <c r="EI22" s="1315"/>
      <c r="EJ22" s="1315"/>
      <c r="EK22" s="1315"/>
      <c r="EL22" s="1315"/>
      <c r="EM22" s="1315"/>
      <c r="EN22" s="1315"/>
      <c r="EO22" s="1315"/>
      <c r="EP22" s="1315"/>
      <c r="EQ22" s="1315"/>
      <c r="ER22" s="1315"/>
      <c r="ES22" s="1315"/>
      <c r="ET22" s="1315"/>
      <c r="EU22" s="1315"/>
      <c r="EV22" s="1315"/>
      <c r="EW22" s="1315"/>
      <c r="EX22" s="1315"/>
      <c r="EY22" s="1315"/>
      <c r="EZ22" s="1315"/>
      <c r="FA22" s="1315"/>
      <c r="FB22" s="1315"/>
      <c r="FC22" s="1315"/>
      <c r="FD22" s="1315"/>
      <c r="FE22" s="1315"/>
      <c r="FF22" s="1315"/>
      <c r="FG22" s="1315"/>
      <c r="FH22" s="1315"/>
      <c r="FI22" s="1315"/>
      <c r="FJ22" s="1315"/>
      <c r="FK22" s="1315"/>
      <c r="FL22" s="1315"/>
      <c r="FM22" s="1315"/>
      <c r="FN22" s="1315"/>
      <c r="FO22" s="1315"/>
      <c r="FP22" s="1315"/>
      <c r="FQ22" s="1315"/>
      <c r="FR22" s="1315"/>
      <c r="FS22" s="1315"/>
      <c r="FT22" s="1315"/>
      <c r="FU22" s="1315"/>
      <c r="FV22" s="1315"/>
      <c r="FW22" s="1315"/>
      <c r="FX22" s="1315"/>
      <c r="FY22" s="1315"/>
      <c r="FZ22" s="1315"/>
      <c r="GA22" s="1315"/>
      <c r="GB22" s="1315"/>
      <c r="GC22" s="1315"/>
      <c r="GD22" s="1315"/>
      <c r="GE22" s="1315"/>
      <c r="GF22" s="1315"/>
      <c r="GG22" s="1315"/>
      <c r="GH22" s="1315"/>
      <c r="GI22" s="1315"/>
      <c r="GJ22" s="1315"/>
      <c r="GK22" s="1315"/>
      <c r="GL22" s="1315"/>
      <c r="GM22" s="1315"/>
      <c r="GN22" s="1315"/>
      <c r="GO22" s="1315"/>
      <c r="GP22" s="1315"/>
      <c r="GQ22" s="1315"/>
      <c r="GR22" s="1315"/>
      <c r="GS22" s="1315"/>
      <c r="GT22" s="1315"/>
      <c r="GU22" s="1315"/>
      <c r="GV22" s="1315"/>
      <c r="GW22" s="1315"/>
      <c r="GX22" s="1315"/>
      <c r="GY22" s="1315"/>
      <c r="GZ22" s="1315"/>
      <c r="HA22" s="1315"/>
      <c r="HB22" s="1315"/>
      <c r="HC22" s="1315"/>
      <c r="HD22" s="1315"/>
      <c r="HE22" s="1315"/>
      <c r="HF22" s="1315"/>
      <c r="HG22" s="1315"/>
      <c r="HH22" s="1315"/>
      <c r="HI22" s="1315"/>
      <c r="HJ22" s="1315"/>
      <c r="HK22" s="1315"/>
      <c r="HL22" s="1315"/>
      <c r="HM22" s="1315"/>
      <c r="HN22" s="1315"/>
      <c r="HO22" s="1315"/>
      <c r="HP22" s="1315"/>
      <c r="HQ22" s="1315"/>
      <c r="HR22" s="1315"/>
      <c r="HS22" s="1315"/>
      <c r="HT22" s="1315"/>
      <c r="HU22" s="1315"/>
      <c r="HV22" s="1315"/>
      <c r="HW22" s="1315"/>
      <c r="HX22" s="1315"/>
      <c r="HY22" s="1315"/>
      <c r="HZ22" s="1315"/>
      <c r="IA22" s="1315"/>
      <c r="IB22" s="1315"/>
      <c r="IC22" s="1315"/>
      <c r="ID22" s="1315"/>
      <c r="IE22" s="1315"/>
      <c r="IF22" s="1315"/>
      <c r="IG22" s="1315"/>
      <c r="IH22" s="1315"/>
      <c r="II22" s="1315"/>
      <c r="IJ22" s="1315"/>
    </row>
    <row r="23" spans="1:244" s="53" customFormat="1" ht="12" x14ac:dyDescent="0.2">
      <c r="A23" s="444">
        <f t="shared" ref="A23:A61" si="65">A22+1</f>
        <v>12</v>
      </c>
      <c r="B23" s="1312">
        <v>2774</v>
      </c>
      <c r="C23" s="1313">
        <f t="shared" ref="C23:C57" si="66">C22+500</f>
        <v>21000</v>
      </c>
      <c r="D23" s="1313">
        <f t="shared" si="9"/>
        <v>21840</v>
      </c>
      <c r="E23" s="1313">
        <f t="shared" ref="E23:Y23" si="67">ROUNDUP(D23*(E$10+1),0)</f>
        <v>22780</v>
      </c>
      <c r="F23" s="1313">
        <f t="shared" si="67"/>
        <v>23464</v>
      </c>
      <c r="G23" s="1313">
        <f t="shared" si="67"/>
        <v>24333</v>
      </c>
      <c r="H23" s="1313">
        <f t="shared" si="67"/>
        <v>25307</v>
      </c>
      <c r="I23" s="1313">
        <f t="shared" si="67"/>
        <v>26320</v>
      </c>
      <c r="J23" s="1314">
        <f t="shared" si="67"/>
        <v>27373</v>
      </c>
      <c r="K23" s="1314" t="e">
        <f t="shared" si="67"/>
        <v>#N/A</v>
      </c>
      <c r="L23" s="1314" t="e">
        <f t="shared" si="67"/>
        <v>#N/A</v>
      </c>
      <c r="M23" s="1314" t="e">
        <f t="shared" si="67"/>
        <v>#N/A</v>
      </c>
      <c r="N23" s="1314" t="e">
        <f t="shared" si="67"/>
        <v>#N/A</v>
      </c>
      <c r="O23" s="1314" t="e">
        <f t="shared" si="67"/>
        <v>#N/A</v>
      </c>
      <c r="P23" s="1314" t="e">
        <f t="shared" si="67"/>
        <v>#N/A</v>
      </c>
      <c r="Q23" s="1314" t="e">
        <f t="shared" si="67"/>
        <v>#N/A</v>
      </c>
      <c r="R23" s="1314" t="e">
        <f t="shared" si="67"/>
        <v>#N/A</v>
      </c>
      <c r="S23" s="1314" t="e">
        <f t="shared" si="67"/>
        <v>#N/A</v>
      </c>
      <c r="T23" s="1314" t="e">
        <f t="shared" si="67"/>
        <v>#N/A</v>
      </c>
      <c r="U23" s="1314" t="e">
        <f t="shared" si="67"/>
        <v>#N/A</v>
      </c>
      <c r="V23" s="1314" t="e">
        <f t="shared" si="67"/>
        <v>#N/A</v>
      </c>
      <c r="W23" s="1314" t="e">
        <f t="shared" si="67"/>
        <v>#N/A</v>
      </c>
      <c r="X23" s="1314" t="e">
        <f t="shared" si="67"/>
        <v>#N/A</v>
      </c>
      <c r="Y23" s="1314" t="e">
        <f t="shared" si="67"/>
        <v>#N/A</v>
      </c>
      <c r="Z23" s="1314" t="e">
        <f t="shared" si="11"/>
        <v>#N/A</v>
      </c>
      <c r="AA23" s="1314" t="e">
        <f t="shared" si="12"/>
        <v>#N/A</v>
      </c>
      <c r="AB23" s="1314" t="e">
        <f t="shared" si="13"/>
        <v>#N/A</v>
      </c>
      <c r="AC23" s="1314" t="e">
        <f t="shared" si="14"/>
        <v>#N/A</v>
      </c>
      <c r="AD23" s="1314" t="e">
        <f t="shared" si="15"/>
        <v>#N/A</v>
      </c>
      <c r="AE23" s="1314" t="e">
        <f t="shared" si="16"/>
        <v>#N/A</v>
      </c>
      <c r="AF23" s="1314" t="e">
        <f t="shared" si="17"/>
        <v>#N/A</v>
      </c>
      <c r="AG23" s="1314" t="e">
        <f t="shared" si="18"/>
        <v>#N/A</v>
      </c>
      <c r="AH23" s="1314" t="e">
        <f t="shared" si="19"/>
        <v>#N/A</v>
      </c>
      <c r="AI23" s="1314" t="e">
        <f t="shared" si="20"/>
        <v>#N/A</v>
      </c>
      <c r="AJ23" s="1314" t="e">
        <f t="shared" si="21"/>
        <v>#N/A</v>
      </c>
      <c r="AK23" s="1314" t="e">
        <f t="shared" si="22"/>
        <v>#N/A</v>
      </c>
      <c r="AL23" s="1314" t="e">
        <f t="shared" si="23"/>
        <v>#N/A</v>
      </c>
      <c r="AM23" s="1314" t="e">
        <f t="shared" si="24"/>
        <v>#N/A</v>
      </c>
      <c r="AN23" s="1314" t="e">
        <f t="shared" si="25"/>
        <v>#N/A</v>
      </c>
      <c r="AO23" s="1314" t="e">
        <f t="shared" si="26"/>
        <v>#N/A</v>
      </c>
      <c r="AP23" s="1314" t="e">
        <f t="shared" si="27"/>
        <v>#N/A</v>
      </c>
      <c r="AQ23" s="1314" t="e">
        <f t="shared" si="28"/>
        <v>#N/A</v>
      </c>
      <c r="AR23" s="1314" t="e">
        <f t="shared" si="29"/>
        <v>#N/A</v>
      </c>
      <c r="AS23" s="1314" t="e">
        <f t="shared" si="30"/>
        <v>#N/A</v>
      </c>
      <c r="AT23" s="1314" t="e">
        <f t="shared" si="31"/>
        <v>#N/A</v>
      </c>
      <c r="AU23" s="1314" t="e">
        <f t="shared" si="32"/>
        <v>#N/A</v>
      </c>
      <c r="AV23" s="1314" t="e">
        <f t="shared" si="33"/>
        <v>#N/A</v>
      </c>
      <c r="AW23" s="1314" t="e">
        <f t="shared" si="34"/>
        <v>#N/A</v>
      </c>
      <c r="AX23" s="1314" t="e">
        <f t="shared" si="35"/>
        <v>#N/A</v>
      </c>
      <c r="AY23" s="1314" t="e">
        <f t="shared" si="36"/>
        <v>#N/A</v>
      </c>
      <c r="AZ23" s="1314" t="e">
        <f t="shared" si="37"/>
        <v>#N/A</v>
      </c>
      <c r="BA23" s="1314" t="e">
        <f t="shared" si="38"/>
        <v>#N/A</v>
      </c>
      <c r="BB23" s="1314" t="e">
        <f t="shared" si="39"/>
        <v>#N/A</v>
      </c>
      <c r="BC23" s="1314" t="e">
        <f t="shared" si="40"/>
        <v>#N/A</v>
      </c>
      <c r="BD23" s="1314" t="e">
        <f t="shared" si="41"/>
        <v>#N/A</v>
      </c>
      <c r="BE23" s="1314" t="e">
        <f t="shared" si="42"/>
        <v>#N/A</v>
      </c>
      <c r="BF23" s="1314" t="e">
        <f t="shared" si="43"/>
        <v>#N/A</v>
      </c>
      <c r="BG23" s="1314" t="e">
        <f t="shared" si="44"/>
        <v>#N/A</v>
      </c>
      <c r="BH23" s="1314" t="e">
        <f t="shared" si="45"/>
        <v>#N/A</v>
      </c>
      <c r="BI23" s="1314" t="e">
        <f t="shared" si="46"/>
        <v>#N/A</v>
      </c>
      <c r="BJ23" s="1314" t="e">
        <f t="shared" si="47"/>
        <v>#N/A</v>
      </c>
      <c r="BK23" s="1314" t="e">
        <f t="shared" si="48"/>
        <v>#N/A</v>
      </c>
      <c r="BL23" s="1314" t="e">
        <f t="shared" si="49"/>
        <v>#N/A</v>
      </c>
      <c r="BM23" s="1314" t="e">
        <f t="shared" si="50"/>
        <v>#N/A</v>
      </c>
      <c r="BN23" s="1314" t="e">
        <f t="shared" si="51"/>
        <v>#N/A</v>
      </c>
      <c r="BO23" s="1314" t="e">
        <f t="shared" si="52"/>
        <v>#N/A</v>
      </c>
      <c r="BP23" s="1314" t="e">
        <f t="shared" si="53"/>
        <v>#N/A</v>
      </c>
      <c r="BQ23" s="1314" t="e">
        <f t="shared" si="54"/>
        <v>#N/A</v>
      </c>
      <c r="BR23" s="1314" t="e">
        <f t="shared" si="55"/>
        <v>#N/A</v>
      </c>
      <c r="BS23" s="1314" t="e">
        <f t="shared" si="56"/>
        <v>#N/A</v>
      </c>
      <c r="BT23" s="1314" t="e">
        <f t="shared" si="57"/>
        <v>#N/A</v>
      </c>
      <c r="BU23" s="1314" t="e">
        <f t="shared" si="58"/>
        <v>#N/A</v>
      </c>
      <c r="BV23" s="1314" t="e">
        <f t="shared" si="59"/>
        <v>#N/A</v>
      </c>
      <c r="BW23" s="1314" t="e">
        <f t="shared" si="60"/>
        <v>#N/A</v>
      </c>
      <c r="BX23" s="1314" t="e">
        <f t="shared" si="61"/>
        <v>#N/A</v>
      </c>
      <c r="BY23" s="1314" t="e">
        <f t="shared" si="62"/>
        <v>#N/A</v>
      </c>
      <c r="BZ23" s="1315"/>
      <c r="CA23" s="1315"/>
      <c r="CB23" s="1315"/>
      <c r="CC23" s="1315"/>
      <c r="CD23" s="1315"/>
      <c r="CE23" s="1315"/>
      <c r="CF23" s="1315"/>
      <c r="CG23" s="1315"/>
      <c r="CH23" s="1315"/>
      <c r="CI23" s="1315"/>
      <c r="CJ23" s="1315"/>
      <c r="CK23" s="1315"/>
      <c r="CL23" s="1315"/>
      <c r="CM23" s="1315"/>
      <c r="CN23" s="1315"/>
      <c r="CO23" s="1315"/>
      <c r="CP23" s="1315"/>
      <c r="CQ23" s="1315"/>
      <c r="CR23" s="1315"/>
      <c r="CS23" s="1315"/>
      <c r="CT23" s="1315"/>
      <c r="CU23" s="1315"/>
      <c r="CV23" s="1315"/>
      <c r="CW23" s="1315"/>
      <c r="CX23" s="1315"/>
      <c r="CY23" s="1315"/>
      <c r="CZ23" s="1315"/>
      <c r="DA23" s="1315"/>
      <c r="DB23" s="1315"/>
      <c r="DC23" s="1315"/>
      <c r="DD23" s="1315"/>
      <c r="DE23" s="1315"/>
      <c r="DF23" s="1315"/>
      <c r="DG23" s="1315"/>
      <c r="DH23" s="1315"/>
      <c r="DI23" s="1315"/>
      <c r="DJ23" s="1315"/>
      <c r="DK23" s="1315"/>
      <c r="DL23" s="1315"/>
      <c r="DM23" s="1315"/>
      <c r="DN23" s="1315"/>
      <c r="DO23" s="1315"/>
      <c r="DP23" s="1315"/>
      <c r="DQ23" s="1315"/>
      <c r="DR23" s="1315"/>
      <c r="DS23" s="1315"/>
      <c r="DT23" s="1315"/>
      <c r="DU23" s="1315"/>
      <c r="DV23" s="1315"/>
      <c r="DW23" s="1315"/>
      <c r="DX23" s="1315"/>
      <c r="DY23" s="1315"/>
      <c r="DZ23" s="1315"/>
      <c r="EA23" s="1315"/>
      <c r="EB23" s="1315"/>
      <c r="EC23" s="1315"/>
      <c r="ED23" s="1315"/>
      <c r="EE23" s="1315"/>
      <c r="EF23" s="1315"/>
      <c r="EG23" s="1315"/>
      <c r="EH23" s="1315"/>
      <c r="EI23" s="1315"/>
      <c r="EJ23" s="1315"/>
      <c r="EK23" s="1315"/>
      <c r="EL23" s="1315"/>
      <c r="EM23" s="1315"/>
      <c r="EN23" s="1315"/>
      <c r="EO23" s="1315"/>
      <c r="EP23" s="1315"/>
      <c r="EQ23" s="1315"/>
      <c r="ER23" s="1315"/>
      <c r="ES23" s="1315"/>
      <c r="ET23" s="1315"/>
      <c r="EU23" s="1315"/>
      <c r="EV23" s="1315"/>
      <c r="EW23" s="1315"/>
      <c r="EX23" s="1315"/>
      <c r="EY23" s="1315"/>
      <c r="EZ23" s="1315"/>
      <c r="FA23" s="1315"/>
      <c r="FB23" s="1315"/>
      <c r="FC23" s="1315"/>
      <c r="FD23" s="1315"/>
      <c r="FE23" s="1315"/>
      <c r="FF23" s="1315"/>
      <c r="FG23" s="1315"/>
      <c r="FH23" s="1315"/>
      <c r="FI23" s="1315"/>
      <c r="FJ23" s="1315"/>
      <c r="FK23" s="1315"/>
      <c r="FL23" s="1315"/>
      <c r="FM23" s="1315"/>
      <c r="FN23" s="1315"/>
      <c r="FO23" s="1315"/>
      <c r="FP23" s="1315"/>
      <c r="FQ23" s="1315"/>
      <c r="FR23" s="1315"/>
      <c r="FS23" s="1315"/>
      <c r="FT23" s="1315"/>
      <c r="FU23" s="1315"/>
      <c r="FV23" s="1315"/>
      <c r="FW23" s="1315"/>
      <c r="FX23" s="1315"/>
      <c r="FY23" s="1315"/>
      <c r="FZ23" s="1315"/>
      <c r="GA23" s="1315"/>
      <c r="GB23" s="1315"/>
      <c r="GC23" s="1315"/>
      <c r="GD23" s="1315"/>
      <c r="GE23" s="1315"/>
      <c r="GF23" s="1315"/>
      <c r="GG23" s="1315"/>
      <c r="GH23" s="1315"/>
      <c r="GI23" s="1315"/>
      <c r="GJ23" s="1315"/>
      <c r="GK23" s="1315"/>
      <c r="GL23" s="1315"/>
      <c r="GM23" s="1315"/>
      <c r="GN23" s="1315"/>
      <c r="GO23" s="1315"/>
      <c r="GP23" s="1315"/>
      <c r="GQ23" s="1315"/>
      <c r="GR23" s="1315"/>
      <c r="GS23" s="1315"/>
      <c r="GT23" s="1315"/>
      <c r="GU23" s="1315"/>
      <c r="GV23" s="1315"/>
      <c r="GW23" s="1315"/>
      <c r="GX23" s="1315"/>
      <c r="GY23" s="1315"/>
      <c r="GZ23" s="1315"/>
      <c r="HA23" s="1315"/>
      <c r="HB23" s="1315"/>
      <c r="HC23" s="1315"/>
      <c r="HD23" s="1315"/>
      <c r="HE23" s="1315"/>
      <c r="HF23" s="1315"/>
      <c r="HG23" s="1315"/>
      <c r="HH23" s="1315"/>
      <c r="HI23" s="1315"/>
      <c r="HJ23" s="1315"/>
      <c r="HK23" s="1315"/>
      <c r="HL23" s="1315"/>
      <c r="HM23" s="1315"/>
      <c r="HN23" s="1315"/>
      <c r="HO23" s="1315"/>
      <c r="HP23" s="1315"/>
      <c r="HQ23" s="1315"/>
      <c r="HR23" s="1315"/>
      <c r="HS23" s="1315"/>
      <c r="HT23" s="1315"/>
      <c r="HU23" s="1315"/>
      <c r="HV23" s="1315"/>
      <c r="HW23" s="1315"/>
      <c r="HX23" s="1315"/>
      <c r="HY23" s="1315"/>
      <c r="HZ23" s="1315"/>
      <c r="IA23" s="1315"/>
      <c r="IB23" s="1315"/>
      <c r="IC23" s="1315"/>
      <c r="ID23" s="1315"/>
      <c r="IE23" s="1315"/>
      <c r="IF23" s="1315"/>
      <c r="IG23" s="1315"/>
      <c r="IH23" s="1315"/>
      <c r="II23" s="1315"/>
      <c r="IJ23" s="1315"/>
    </row>
    <row r="24" spans="1:244" s="53" customFormat="1" ht="12" x14ac:dyDescent="0.2">
      <c r="A24" s="444">
        <f t="shared" si="65"/>
        <v>13</v>
      </c>
      <c r="B24" s="1312">
        <v>3883</v>
      </c>
      <c r="C24" s="1313">
        <f t="shared" si="66"/>
        <v>21500</v>
      </c>
      <c r="D24" s="1313">
        <f t="shared" si="9"/>
        <v>22360</v>
      </c>
      <c r="E24" s="1313">
        <f t="shared" ref="E24:Y24" si="68">ROUNDUP(D24*(E$10+1),0)</f>
        <v>23322</v>
      </c>
      <c r="F24" s="1313">
        <f t="shared" si="68"/>
        <v>24022</v>
      </c>
      <c r="G24" s="1313">
        <f t="shared" si="68"/>
        <v>24911</v>
      </c>
      <c r="H24" s="1313">
        <f t="shared" si="68"/>
        <v>25908</v>
      </c>
      <c r="I24" s="1313">
        <f t="shared" si="68"/>
        <v>26945</v>
      </c>
      <c r="J24" s="1314">
        <f t="shared" si="68"/>
        <v>28023</v>
      </c>
      <c r="K24" s="1314" t="e">
        <f t="shared" si="68"/>
        <v>#N/A</v>
      </c>
      <c r="L24" s="1314" t="e">
        <f t="shared" si="68"/>
        <v>#N/A</v>
      </c>
      <c r="M24" s="1314" t="e">
        <f t="shared" si="68"/>
        <v>#N/A</v>
      </c>
      <c r="N24" s="1314" t="e">
        <f t="shared" si="68"/>
        <v>#N/A</v>
      </c>
      <c r="O24" s="1314" t="e">
        <f t="shared" si="68"/>
        <v>#N/A</v>
      </c>
      <c r="P24" s="1314" t="e">
        <f t="shared" si="68"/>
        <v>#N/A</v>
      </c>
      <c r="Q24" s="1314" t="e">
        <f t="shared" si="68"/>
        <v>#N/A</v>
      </c>
      <c r="R24" s="1314" t="e">
        <f t="shared" si="68"/>
        <v>#N/A</v>
      </c>
      <c r="S24" s="1314" t="e">
        <f t="shared" si="68"/>
        <v>#N/A</v>
      </c>
      <c r="T24" s="1314" t="e">
        <f t="shared" si="68"/>
        <v>#N/A</v>
      </c>
      <c r="U24" s="1314" t="e">
        <f t="shared" si="68"/>
        <v>#N/A</v>
      </c>
      <c r="V24" s="1314" t="e">
        <f t="shared" si="68"/>
        <v>#N/A</v>
      </c>
      <c r="W24" s="1314" t="e">
        <f t="shared" si="68"/>
        <v>#N/A</v>
      </c>
      <c r="X24" s="1314" t="e">
        <f t="shared" si="68"/>
        <v>#N/A</v>
      </c>
      <c r="Y24" s="1314" t="e">
        <f t="shared" si="68"/>
        <v>#N/A</v>
      </c>
      <c r="Z24" s="1314" t="e">
        <f t="shared" si="11"/>
        <v>#N/A</v>
      </c>
      <c r="AA24" s="1314" t="e">
        <f t="shared" si="12"/>
        <v>#N/A</v>
      </c>
      <c r="AB24" s="1314" t="e">
        <f t="shared" si="13"/>
        <v>#N/A</v>
      </c>
      <c r="AC24" s="1314" t="e">
        <f t="shared" si="14"/>
        <v>#N/A</v>
      </c>
      <c r="AD24" s="1314" t="e">
        <f t="shared" si="15"/>
        <v>#N/A</v>
      </c>
      <c r="AE24" s="1314" t="e">
        <f t="shared" si="16"/>
        <v>#N/A</v>
      </c>
      <c r="AF24" s="1314" t="e">
        <f t="shared" si="17"/>
        <v>#N/A</v>
      </c>
      <c r="AG24" s="1314" t="e">
        <f t="shared" si="18"/>
        <v>#N/A</v>
      </c>
      <c r="AH24" s="1314" t="e">
        <f t="shared" si="19"/>
        <v>#N/A</v>
      </c>
      <c r="AI24" s="1314" t="e">
        <f t="shared" si="20"/>
        <v>#N/A</v>
      </c>
      <c r="AJ24" s="1314" t="e">
        <f t="shared" si="21"/>
        <v>#N/A</v>
      </c>
      <c r="AK24" s="1314" t="e">
        <f t="shared" si="22"/>
        <v>#N/A</v>
      </c>
      <c r="AL24" s="1314" t="e">
        <f t="shared" si="23"/>
        <v>#N/A</v>
      </c>
      <c r="AM24" s="1314" t="e">
        <f t="shared" si="24"/>
        <v>#N/A</v>
      </c>
      <c r="AN24" s="1314" t="e">
        <f t="shared" si="25"/>
        <v>#N/A</v>
      </c>
      <c r="AO24" s="1314" t="e">
        <f t="shared" si="26"/>
        <v>#N/A</v>
      </c>
      <c r="AP24" s="1314" t="e">
        <f t="shared" si="27"/>
        <v>#N/A</v>
      </c>
      <c r="AQ24" s="1314" t="e">
        <f t="shared" si="28"/>
        <v>#N/A</v>
      </c>
      <c r="AR24" s="1314" t="e">
        <f t="shared" si="29"/>
        <v>#N/A</v>
      </c>
      <c r="AS24" s="1314" t="e">
        <f t="shared" si="30"/>
        <v>#N/A</v>
      </c>
      <c r="AT24" s="1314" t="e">
        <f t="shared" si="31"/>
        <v>#N/A</v>
      </c>
      <c r="AU24" s="1314" t="e">
        <f t="shared" si="32"/>
        <v>#N/A</v>
      </c>
      <c r="AV24" s="1314" t="e">
        <f t="shared" si="33"/>
        <v>#N/A</v>
      </c>
      <c r="AW24" s="1314" t="e">
        <f t="shared" si="34"/>
        <v>#N/A</v>
      </c>
      <c r="AX24" s="1314" t="e">
        <f t="shared" si="35"/>
        <v>#N/A</v>
      </c>
      <c r="AY24" s="1314" t="e">
        <f t="shared" si="36"/>
        <v>#N/A</v>
      </c>
      <c r="AZ24" s="1314" t="e">
        <f t="shared" si="37"/>
        <v>#N/A</v>
      </c>
      <c r="BA24" s="1314" t="e">
        <f t="shared" si="38"/>
        <v>#N/A</v>
      </c>
      <c r="BB24" s="1314" t="e">
        <f t="shared" si="39"/>
        <v>#N/A</v>
      </c>
      <c r="BC24" s="1314" t="e">
        <f t="shared" si="40"/>
        <v>#N/A</v>
      </c>
      <c r="BD24" s="1314" t="e">
        <f t="shared" si="41"/>
        <v>#N/A</v>
      </c>
      <c r="BE24" s="1314" t="e">
        <f t="shared" si="42"/>
        <v>#N/A</v>
      </c>
      <c r="BF24" s="1314" t="e">
        <f t="shared" si="43"/>
        <v>#N/A</v>
      </c>
      <c r="BG24" s="1314" t="e">
        <f t="shared" si="44"/>
        <v>#N/A</v>
      </c>
      <c r="BH24" s="1314" t="e">
        <f t="shared" si="45"/>
        <v>#N/A</v>
      </c>
      <c r="BI24" s="1314" t="e">
        <f t="shared" si="46"/>
        <v>#N/A</v>
      </c>
      <c r="BJ24" s="1314" t="e">
        <f t="shared" si="47"/>
        <v>#N/A</v>
      </c>
      <c r="BK24" s="1314" t="e">
        <f t="shared" si="48"/>
        <v>#N/A</v>
      </c>
      <c r="BL24" s="1314" t="e">
        <f t="shared" si="49"/>
        <v>#N/A</v>
      </c>
      <c r="BM24" s="1314" t="e">
        <f t="shared" si="50"/>
        <v>#N/A</v>
      </c>
      <c r="BN24" s="1314" t="e">
        <f t="shared" si="51"/>
        <v>#N/A</v>
      </c>
      <c r="BO24" s="1314" t="e">
        <f t="shared" si="52"/>
        <v>#N/A</v>
      </c>
      <c r="BP24" s="1314" t="e">
        <f t="shared" si="53"/>
        <v>#N/A</v>
      </c>
      <c r="BQ24" s="1314" t="e">
        <f t="shared" si="54"/>
        <v>#N/A</v>
      </c>
      <c r="BR24" s="1314" t="e">
        <f t="shared" si="55"/>
        <v>#N/A</v>
      </c>
      <c r="BS24" s="1314" t="e">
        <f t="shared" si="56"/>
        <v>#N/A</v>
      </c>
      <c r="BT24" s="1314" t="e">
        <f t="shared" si="57"/>
        <v>#N/A</v>
      </c>
      <c r="BU24" s="1314" t="e">
        <f t="shared" si="58"/>
        <v>#N/A</v>
      </c>
      <c r="BV24" s="1314" t="e">
        <f t="shared" si="59"/>
        <v>#N/A</v>
      </c>
      <c r="BW24" s="1314" t="e">
        <f t="shared" si="60"/>
        <v>#N/A</v>
      </c>
      <c r="BX24" s="1314" t="e">
        <f t="shared" si="61"/>
        <v>#N/A</v>
      </c>
      <c r="BY24" s="1314" t="e">
        <f t="shared" si="62"/>
        <v>#N/A</v>
      </c>
      <c r="BZ24" s="1315"/>
      <c r="CA24" s="1315"/>
      <c r="CB24" s="1315"/>
      <c r="CC24" s="1315"/>
      <c r="CD24" s="1315"/>
      <c r="CE24" s="1315"/>
      <c r="CF24" s="1315"/>
      <c r="CG24" s="1315"/>
      <c r="CH24" s="1315"/>
      <c r="CI24" s="1315"/>
      <c r="CJ24" s="1315"/>
      <c r="CK24" s="1315"/>
      <c r="CL24" s="1315"/>
      <c r="CM24" s="1315"/>
      <c r="CN24" s="1315"/>
      <c r="CO24" s="1315"/>
      <c r="CP24" s="1315"/>
      <c r="CQ24" s="1315"/>
      <c r="CR24" s="1315"/>
      <c r="CS24" s="1315"/>
      <c r="CT24" s="1315"/>
      <c r="CU24" s="1315"/>
      <c r="CV24" s="1315"/>
      <c r="CW24" s="1315"/>
      <c r="CX24" s="1315"/>
      <c r="CY24" s="1315"/>
      <c r="CZ24" s="1315"/>
      <c r="DA24" s="1315"/>
      <c r="DB24" s="1315"/>
      <c r="DC24" s="1315"/>
      <c r="DD24" s="1315"/>
      <c r="DE24" s="1315"/>
      <c r="DF24" s="1315"/>
      <c r="DG24" s="1315"/>
      <c r="DH24" s="1315"/>
      <c r="DI24" s="1315"/>
      <c r="DJ24" s="1315"/>
      <c r="DK24" s="1315"/>
      <c r="DL24" s="1315"/>
      <c r="DM24" s="1315"/>
      <c r="DN24" s="1315"/>
      <c r="DO24" s="1315"/>
      <c r="DP24" s="1315"/>
      <c r="DQ24" s="1315"/>
      <c r="DR24" s="1315"/>
      <c r="DS24" s="1315"/>
      <c r="DT24" s="1315"/>
      <c r="DU24" s="1315"/>
      <c r="DV24" s="1315"/>
      <c r="DW24" s="1315"/>
      <c r="DX24" s="1315"/>
      <c r="DY24" s="1315"/>
      <c r="DZ24" s="1315"/>
      <c r="EA24" s="1315"/>
      <c r="EB24" s="1315"/>
      <c r="EC24" s="1315"/>
      <c r="ED24" s="1315"/>
      <c r="EE24" s="1315"/>
      <c r="EF24" s="1315"/>
      <c r="EG24" s="1315"/>
      <c r="EH24" s="1315"/>
      <c r="EI24" s="1315"/>
      <c r="EJ24" s="1315"/>
      <c r="EK24" s="1315"/>
      <c r="EL24" s="1315"/>
      <c r="EM24" s="1315"/>
      <c r="EN24" s="1315"/>
      <c r="EO24" s="1315"/>
      <c r="EP24" s="1315"/>
      <c r="EQ24" s="1315"/>
      <c r="ER24" s="1315"/>
      <c r="ES24" s="1315"/>
      <c r="ET24" s="1315"/>
      <c r="EU24" s="1315"/>
      <c r="EV24" s="1315"/>
      <c r="EW24" s="1315"/>
      <c r="EX24" s="1315"/>
      <c r="EY24" s="1315"/>
      <c r="EZ24" s="1315"/>
      <c r="FA24" s="1315"/>
      <c r="FB24" s="1315"/>
      <c r="FC24" s="1315"/>
      <c r="FD24" s="1315"/>
      <c r="FE24" s="1315"/>
      <c r="FF24" s="1315"/>
      <c r="FG24" s="1315"/>
      <c r="FH24" s="1315"/>
      <c r="FI24" s="1315"/>
      <c r="FJ24" s="1315"/>
      <c r="FK24" s="1315"/>
      <c r="FL24" s="1315"/>
      <c r="FM24" s="1315"/>
      <c r="FN24" s="1315"/>
      <c r="FO24" s="1315"/>
      <c r="FP24" s="1315"/>
      <c r="FQ24" s="1315"/>
      <c r="FR24" s="1315"/>
      <c r="FS24" s="1315"/>
      <c r="FT24" s="1315"/>
      <c r="FU24" s="1315"/>
      <c r="FV24" s="1315"/>
      <c r="FW24" s="1315"/>
      <c r="FX24" s="1315"/>
      <c r="FY24" s="1315"/>
      <c r="FZ24" s="1315"/>
      <c r="GA24" s="1315"/>
      <c r="GB24" s="1315"/>
      <c r="GC24" s="1315"/>
      <c r="GD24" s="1315"/>
      <c r="GE24" s="1315"/>
      <c r="GF24" s="1315"/>
      <c r="GG24" s="1315"/>
      <c r="GH24" s="1315"/>
      <c r="GI24" s="1315"/>
      <c r="GJ24" s="1315"/>
      <c r="GK24" s="1315"/>
      <c r="GL24" s="1315"/>
      <c r="GM24" s="1315"/>
      <c r="GN24" s="1315"/>
      <c r="GO24" s="1315"/>
      <c r="GP24" s="1315"/>
      <c r="GQ24" s="1315"/>
      <c r="GR24" s="1315"/>
      <c r="GS24" s="1315"/>
      <c r="GT24" s="1315"/>
      <c r="GU24" s="1315"/>
      <c r="GV24" s="1315"/>
      <c r="GW24" s="1315"/>
      <c r="GX24" s="1315"/>
      <c r="GY24" s="1315"/>
      <c r="GZ24" s="1315"/>
      <c r="HA24" s="1315"/>
      <c r="HB24" s="1315"/>
      <c r="HC24" s="1315"/>
      <c r="HD24" s="1315"/>
      <c r="HE24" s="1315"/>
      <c r="HF24" s="1315"/>
      <c r="HG24" s="1315"/>
      <c r="HH24" s="1315"/>
      <c r="HI24" s="1315"/>
      <c r="HJ24" s="1315"/>
      <c r="HK24" s="1315"/>
      <c r="HL24" s="1315"/>
      <c r="HM24" s="1315"/>
      <c r="HN24" s="1315"/>
      <c r="HO24" s="1315"/>
      <c r="HP24" s="1315"/>
      <c r="HQ24" s="1315"/>
      <c r="HR24" s="1315"/>
      <c r="HS24" s="1315"/>
      <c r="HT24" s="1315"/>
      <c r="HU24" s="1315"/>
      <c r="HV24" s="1315"/>
      <c r="HW24" s="1315"/>
      <c r="HX24" s="1315"/>
      <c r="HY24" s="1315"/>
      <c r="HZ24" s="1315"/>
      <c r="IA24" s="1315"/>
      <c r="IB24" s="1315"/>
      <c r="IC24" s="1315"/>
      <c r="ID24" s="1315"/>
      <c r="IE24" s="1315"/>
      <c r="IF24" s="1315"/>
      <c r="IG24" s="1315"/>
      <c r="IH24" s="1315"/>
      <c r="II24" s="1315"/>
      <c r="IJ24" s="1315"/>
    </row>
    <row r="25" spans="1:244" s="53" customFormat="1" ht="12" x14ac:dyDescent="0.2">
      <c r="A25" s="444">
        <f t="shared" si="65"/>
        <v>14</v>
      </c>
      <c r="B25" s="1312">
        <v>3994</v>
      </c>
      <c r="C25" s="1313">
        <f t="shared" si="66"/>
        <v>22000</v>
      </c>
      <c r="D25" s="1313">
        <f t="shared" si="9"/>
        <v>22880</v>
      </c>
      <c r="E25" s="1313">
        <f t="shared" ref="E25:Y25" si="69">ROUNDUP(D25*(E$10+1),0)</f>
        <v>23864</v>
      </c>
      <c r="F25" s="1313">
        <f t="shared" si="69"/>
        <v>24580</v>
      </c>
      <c r="G25" s="1313">
        <f t="shared" si="69"/>
        <v>25490</v>
      </c>
      <c r="H25" s="1313">
        <f t="shared" si="69"/>
        <v>26510</v>
      </c>
      <c r="I25" s="1313">
        <f t="shared" si="69"/>
        <v>27571</v>
      </c>
      <c r="J25" s="1314">
        <f t="shared" si="69"/>
        <v>28674</v>
      </c>
      <c r="K25" s="1314" t="e">
        <f t="shared" si="69"/>
        <v>#N/A</v>
      </c>
      <c r="L25" s="1314" t="e">
        <f t="shared" si="69"/>
        <v>#N/A</v>
      </c>
      <c r="M25" s="1314" t="e">
        <f t="shared" si="69"/>
        <v>#N/A</v>
      </c>
      <c r="N25" s="1314" t="e">
        <f t="shared" si="69"/>
        <v>#N/A</v>
      </c>
      <c r="O25" s="1314" t="e">
        <f t="shared" si="69"/>
        <v>#N/A</v>
      </c>
      <c r="P25" s="1314" t="e">
        <f t="shared" si="69"/>
        <v>#N/A</v>
      </c>
      <c r="Q25" s="1314" t="e">
        <f t="shared" si="69"/>
        <v>#N/A</v>
      </c>
      <c r="R25" s="1314" t="e">
        <f t="shared" si="69"/>
        <v>#N/A</v>
      </c>
      <c r="S25" s="1314" t="e">
        <f t="shared" si="69"/>
        <v>#N/A</v>
      </c>
      <c r="T25" s="1314" t="e">
        <f t="shared" si="69"/>
        <v>#N/A</v>
      </c>
      <c r="U25" s="1314" t="e">
        <f t="shared" si="69"/>
        <v>#N/A</v>
      </c>
      <c r="V25" s="1314" t="e">
        <f t="shared" si="69"/>
        <v>#N/A</v>
      </c>
      <c r="W25" s="1314" t="e">
        <f t="shared" si="69"/>
        <v>#N/A</v>
      </c>
      <c r="X25" s="1314" t="e">
        <f t="shared" si="69"/>
        <v>#N/A</v>
      </c>
      <c r="Y25" s="1314" t="e">
        <f t="shared" si="69"/>
        <v>#N/A</v>
      </c>
      <c r="Z25" s="1314" t="e">
        <f t="shared" si="11"/>
        <v>#N/A</v>
      </c>
      <c r="AA25" s="1314" t="e">
        <f t="shared" si="12"/>
        <v>#N/A</v>
      </c>
      <c r="AB25" s="1314" t="e">
        <f t="shared" si="13"/>
        <v>#N/A</v>
      </c>
      <c r="AC25" s="1314" t="e">
        <f t="shared" si="14"/>
        <v>#N/A</v>
      </c>
      <c r="AD25" s="1314" t="e">
        <f t="shared" si="15"/>
        <v>#N/A</v>
      </c>
      <c r="AE25" s="1314" t="e">
        <f t="shared" si="16"/>
        <v>#N/A</v>
      </c>
      <c r="AF25" s="1314" t="e">
        <f t="shared" si="17"/>
        <v>#N/A</v>
      </c>
      <c r="AG25" s="1314" t="e">
        <f t="shared" si="18"/>
        <v>#N/A</v>
      </c>
      <c r="AH25" s="1314" t="e">
        <f t="shared" si="19"/>
        <v>#N/A</v>
      </c>
      <c r="AI25" s="1314" t="e">
        <f t="shared" si="20"/>
        <v>#N/A</v>
      </c>
      <c r="AJ25" s="1314" t="e">
        <f t="shared" si="21"/>
        <v>#N/A</v>
      </c>
      <c r="AK25" s="1314" t="e">
        <f t="shared" si="22"/>
        <v>#N/A</v>
      </c>
      <c r="AL25" s="1314" t="e">
        <f t="shared" si="23"/>
        <v>#N/A</v>
      </c>
      <c r="AM25" s="1314" t="e">
        <f t="shared" si="24"/>
        <v>#N/A</v>
      </c>
      <c r="AN25" s="1314" t="e">
        <f t="shared" si="25"/>
        <v>#N/A</v>
      </c>
      <c r="AO25" s="1314" t="e">
        <f t="shared" si="26"/>
        <v>#N/A</v>
      </c>
      <c r="AP25" s="1314" t="e">
        <f t="shared" si="27"/>
        <v>#N/A</v>
      </c>
      <c r="AQ25" s="1314" t="e">
        <f t="shared" si="28"/>
        <v>#N/A</v>
      </c>
      <c r="AR25" s="1314" t="e">
        <f t="shared" si="29"/>
        <v>#N/A</v>
      </c>
      <c r="AS25" s="1314" t="e">
        <f t="shared" si="30"/>
        <v>#N/A</v>
      </c>
      <c r="AT25" s="1314" t="e">
        <f t="shared" si="31"/>
        <v>#N/A</v>
      </c>
      <c r="AU25" s="1314" t="e">
        <f t="shared" si="32"/>
        <v>#N/A</v>
      </c>
      <c r="AV25" s="1314" t="e">
        <f t="shared" si="33"/>
        <v>#N/A</v>
      </c>
      <c r="AW25" s="1314" t="e">
        <f t="shared" si="34"/>
        <v>#N/A</v>
      </c>
      <c r="AX25" s="1314" t="e">
        <f t="shared" si="35"/>
        <v>#N/A</v>
      </c>
      <c r="AY25" s="1314" t="e">
        <f t="shared" si="36"/>
        <v>#N/A</v>
      </c>
      <c r="AZ25" s="1314" t="e">
        <f t="shared" si="37"/>
        <v>#N/A</v>
      </c>
      <c r="BA25" s="1314" t="e">
        <f t="shared" si="38"/>
        <v>#N/A</v>
      </c>
      <c r="BB25" s="1314" t="e">
        <f t="shared" si="39"/>
        <v>#N/A</v>
      </c>
      <c r="BC25" s="1314" t="e">
        <f t="shared" si="40"/>
        <v>#N/A</v>
      </c>
      <c r="BD25" s="1314" t="e">
        <f t="shared" si="41"/>
        <v>#N/A</v>
      </c>
      <c r="BE25" s="1314" t="e">
        <f t="shared" si="42"/>
        <v>#N/A</v>
      </c>
      <c r="BF25" s="1314" t="e">
        <f t="shared" si="43"/>
        <v>#N/A</v>
      </c>
      <c r="BG25" s="1314" t="e">
        <f t="shared" si="44"/>
        <v>#N/A</v>
      </c>
      <c r="BH25" s="1314" t="e">
        <f t="shared" si="45"/>
        <v>#N/A</v>
      </c>
      <c r="BI25" s="1314" t="e">
        <f t="shared" si="46"/>
        <v>#N/A</v>
      </c>
      <c r="BJ25" s="1314" t="e">
        <f t="shared" si="47"/>
        <v>#N/A</v>
      </c>
      <c r="BK25" s="1314" t="e">
        <f t="shared" si="48"/>
        <v>#N/A</v>
      </c>
      <c r="BL25" s="1314" t="e">
        <f t="shared" si="49"/>
        <v>#N/A</v>
      </c>
      <c r="BM25" s="1314" t="e">
        <f t="shared" si="50"/>
        <v>#N/A</v>
      </c>
      <c r="BN25" s="1314" t="e">
        <f t="shared" si="51"/>
        <v>#N/A</v>
      </c>
      <c r="BO25" s="1314" t="e">
        <f t="shared" si="52"/>
        <v>#N/A</v>
      </c>
      <c r="BP25" s="1314" t="e">
        <f t="shared" si="53"/>
        <v>#N/A</v>
      </c>
      <c r="BQ25" s="1314" t="e">
        <f t="shared" si="54"/>
        <v>#N/A</v>
      </c>
      <c r="BR25" s="1314" t="e">
        <f t="shared" si="55"/>
        <v>#N/A</v>
      </c>
      <c r="BS25" s="1314" t="e">
        <f t="shared" si="56"/>
        <v>#N/A</v>
      </c>
      <c r="BT25" s="1314" t="e">
        <f t="shared" si="57"/>
        <v>#N/A</v>
      </c>
      <c r="BU25" s="1314" t="e">
        <f t="shared" si="58"/>
        <v>#N/A</v>
      </c>
      <c r="BV25" s="1314" t="e">
        <f t="shared" si="59"/>
        <v>#N/A</v>
      </c>
      <c r="BW25" s="1314" t="e">
        <f t="shared" si="60"/>
        <v>#N/A</v>
      </c>
      <c r="BX25" s="1314" t="e">
        <f t="shared" si="61"/>
        <v>#N/A</v>
      </c>
      <c r="BY25" s="1314" t="e">
        <f t="shared" si="62"/>
        <v>#N/A</v>
      </c>
      <c r="BZ25" s="1315"/>
      <c r="CA25" s="1315"/>
      <c r="CB25" s="1315"/>
      <c r="CC25" s="1315"/>
      <c r="CD25" s="1315"/>
      <c r="CE25" s="1315"/>
      <c r="CF25" s="1315"/>
      <c r="CG25" s="1315"/>
      <c r="CH25" s="1315"/>
      <c r="CI25" s="1315"/>
      <c r="CJ25" s="1315"/>
      <c r="CK25" s="1315"/>
      <c r="CL25" s="1315"/>
      <c r="CM25" s="1315"/>
      <c r="CN25" s="1315"/>
      <c r="CO25" s="1315"/>
      <c r="CP25" s="1315"/>
      <c r="CQ25" s="1315"/>
      <c r="CR25" s="1315"/>
      <c r="CS25" s="1315"/>
      <c r="CT25" s="1315"/>
      <c r="CU25" s="1315"/>
      <c r="CV25" s="1315"/>
      <c r="CW25" s="1315"/>
      <c r="CX25" s="1315"/>
      <c r="CY25" s="1315"/>
      <c r="CZ25" s="1315"/>
      <c r="DA25" s="1315"/>
      <c r="DB25" s="1315"/>
      <c r="DC25" s="1315"/>
      <c r="DD25" s="1315"/>
      <c r="DE25" s="1315"/>
      <c r="DF25" s="1315"/>
      <c r="DG25" s="1315"/>
      <c r="DH25" s="1315"/>
      <c r="DI25" s="1315"/>
      <c r="DJ25" s="1315"/>
      <c r="DK25" s="1315"/>
      <c r="DL25" s="1315"/>
      <c r="DM25" s="1315"/>
      <c r="DN25" s="1315"/>
      <c r="DO25" s="1315"/>
      <c r="DP25" s="1315"/>
      <c r="DQ25" s="1315"/>
      <c r="DR25" s="1315"/>
      <c r="DS25" s="1315"/>
      <c r="DT25" s="1315"/>
      <c r="DU25" s="1315"/>
      <c r="DV25" s="1315"/>
      <c r="DW25" s="1315"/>
      <c r="DX25" s="1315"/>
      <c r="DY25" s="1315"/>
      <c r="DZ25" s="1315"/>
      <c r="EA25" s="1315"/>
      <c r="EB25" s="1315"/>
      <c r="EC25" s="1315"/>
      <c r="ED25" s="1315"/>
      <c r="EE25" s="1315"/>
      <c r="EF25" s="1315"/>
      <c r="EG25" s="1315"/>
      <c r="EH25" s="1315"/>
      <c r="EI25" s="1315"/>
      <c r="EJ25" s="1315"/>
      <c r="EK25" s="1315"/>
      <c r="EL25" s="1315"/>
      <c r="EM25" s="1315"/>
      <c r="EN25" s="1315"/>
      <c r="EO25" s="1315"/>
      <c r="EP25" s="1315"/>
      <c r="EQ25" s="1315"/>
      <c r="ER25" s="1315"/>
      <c r="ES25" s="1315"/>
      <c r="ET25" s="1315"/>
      <c r="EU25" s="1315"/>
      <c r="EV25" s="1315"/>
      <c r="EW25" s="1315"/>
      <c r="EX25" s="1315"/>
      <c r="EY25" s="1315"/>
      <c r="EZ25" s="1315"/>
      <c r="FA25" s="1315"/>
      <c r="FB25" s="1315"/>
      <c r="FC25" s="1315"/>
      <c r="FD25" s="1315"/>
      <c r="FE25" s="1315"/>
      <c r="FF25" s="1315"/>
      <c r="FG25" s="1315"/>
      <c r="FH25" s="1315"/>
      <c r="FI25" s="1315"/>
      <c r="FJ25" s="1315"/>
      <c r="FK25" s="1315"/>
      <c r="FL25" s="1315"/>
      <c r="FM25" s="1315"/>
      <c r="FN25" s="1315"/>
      <c r="FO25" s="1315"/>
      <c r="FP25" s="1315"/>
      <c r="FQ25" s="1315"/>
      <c r="FR25" s="1315"/>
      <c r="FS25" s="1315"/>
      <c r="FT25" s="1315"/>
      <c r="FU25" s="1315"/>
      <c r="FV25" s="1315"/>
      <c r="FW25" s="1315"/>
      <c r="FX25" s="1315"/>
      <c r="FY25" s="1315"/>
      <c r="FZ25" s="1315"/>
      <c r="GA25" s="1315"/>
      <c r="GB25" s="1315"/>
      <c r="GC25" s="1315"/>
      <c r="GD25" s="1315"/>
      <c r="GE25" s="1315"/>
      <c r="GF25" s="1315"/>
      <c r="GG25" s="1315"/>
      <c r="GH25" s="1315"/>
      <c r="GI25" s="1315"/>
      <c r="GJ25" s="1315"/>
      <c r="GK25" s="1315"/>
      <c r="GL25" s="1315"/>
      <c r="GM25" s="1315"/>
      <c r="GN25" s="1315"/>
      <c r="GO25" s="1315"/>
      <c r="GP25" s="1315"/>
      <c r="GQ25" s="1315"/>
      <c r="GR25" s="1315"/>
      <c r="GS25" s="1315"/>
      <c r="GT25" s="1315"/>
      <c r="GU25" s="1315"/>
      <c r="GV25" s="1315"/>
      <c r="GW25" s="1315"/>
      <c r="GX25" s="1315"/>
      <c r="GY25" s="1315"/>
      <c r="GZ25" s="1315"/>
      <c r="HA25" s="1315"/>
      <c r="HB25" s="1315"/>
      <c r="HC25" s="1315"/>
      <c r="HD25" s="1315"/>
      <c r="HE25" s="1315"/>
      <c r="HF25" s="1315"/>
      <c r="HG25" s="1315"/>
      <c r="HH25" s="1315"/>
      <c r="HI25" s="1315"/>
      <c r="HJ25" s="1315"/>
      <c r="HK25" s="1315"/>
      <c r="HL25" s="1315"/>
      <c r="HM25" s="1315"/>
      <c r="HN25" s="1315"/>
      <c r="HO25" s="1315"/>
      <c r="HP25" s="1315"/>
      <c r="HQ25" s="1315"/>
      <c r="HR25" s="1315"/>
      <c r="HS25" s="1315"/>
      <c r="HT25" s="1315"/>
      <c r="HU25" s="1315"/>
      <c r="HV25" s="1315"/>
      <c r="HW25" s="1315"/>
      <c r="HX25" s="1315"/>
      <c r="HY25" s="1315"/>
      <c r="HZ25" s="1315"/>
      <c r="IA25" s="1315"/>
      <c r="IB25" s="1315"/>
      <c r="IC25" s="1315"/>
      <c r="ID25" s="1315"/>
      <c r="IE25" s="1315"/>
      <c r="IF25" s="1315"/>
      <c r="IG25" s="1315"/>
      <c r="IH25" s="1315"/>
      <c r="II25" s="1315"/>
      <c r="IJ25" s="1315"/>
    </row>
    <row r="26" spans="1:244" s="53" customFormat="1" ht="12" x14ac:dyDescent="0.2">
      <c r="A26" s="444">
        <f t="shared" si="65"/>
        <v>15</v>
      </c>
      <c r="B26" s="1312">
        <v>4104</v>
      </c>
      <c r="C26" s="1313">
        <f t="shared" si="66"/>
        <v>22500</v>
      </c>
      <c r="D26" s="1313">
        <f t="shared" si="9"/>
        <v>23400</v>
      </c>
      <c r="E26" s="1313">
        <f t="shared" ref="E26:Y26" si="70">ROUNDUP(D26*(E$10+1),0)</f>
        <v>24407</v>
      </c>
      <c r="F26" s="1313">
        <f t="shared" si="70"/>
        <v>25140</v>
      </c>
      <c r="G26" s="1313">
        <f t="shared" si="70"/>
        <v>26071</v>
      </c>
      <c r="H26" s="1313">
        <f t="shared" si="70"/>
        <v>27114</v>
      </c>
      <c r="I26" s="1313">
        <f t="shared" si="70"/>
        <v>28199</v>
      </c>
      <c r="J26" s="1314">
        <f t="shared" si="70"/>
        <v>29327</v>
      </c>
      <c r="K26" s="1314" t="e">
        <f t="shared" si="70"/>
        <v>#N/A</v>
      </c>
      <c r="L26" s="1314" t="e">
        <f t="shared" si="70"/>
        <v>#N/A</v>
      </c>
      <c r="M26" s="1314" t="e">
        <f t="shared" si="70"/>
        <v>#N/A</v>
      </c>
      <c r="N26" s="1314" t="e">
        <f t="shared" si="70"/>
        <v>#N/A</v>
      </c>
      <c r="O26" s="1314" t="e">
        <f t="shared" si="70"/>
        <v>#N/A</v>
      </c>
      <c r="P26" s="1314" t="e">
        <f t="shared" si="70"/>
        <v>#N/A</v>
      </c>
      <c r="Q26" s="1314" t="e">
        <f t="shared" si="70"/>
        <v>#N/A</v>
      </c>
      <c r="R26" s="1314" t="e">
        <f t="shared" si="70"/>
        <v>#N/A</v>
      </c>
      <c r="S26" s="1314" t="e">
        <f t="shared" si="70"/>
        <v>#N/A</v>
      </c>
      <c r="T26" s="1314" t="e">
        <f t="shared" si="70"/>
        <v>#N/A</v>
      </c>
      <c r="U26" s="1314" t="e">
        <f t="shared" si="70"/>
        <v>#N/A</v>
      </c>
      <c r="V26" s="1314" t="e">
        <f t="shared" si="70"/>
        <v>#N/A</v>
      </c>
      <c r="W26" s="1314" t="e">
        <f t="shared" si="70"/>
        <v>#N/A</v>
      </c>
      <c r="X26" s="1314" t="e">
        <f t="shared" si="70"/>
        <v>#N/A</v>
      </c>
      <c r="Y26" s="1314" t="e">
        <f t="shared" si="70"/>
        <v>#N/A</v>
      </c>
      <c r="Z26" s="1314" t="e">
        <f t="shared" si="11"/>
        <v>#N/A</v>
      </c>
      <c r="AA26" s="1314" t="e">
        <f t="shared" si="12"/>
        <v>#N/A</v>
      </c>
      <c r="AB26" s="1314" t="e">
        <f t="shared" si="13"/>
        <v>#N/A</v>
      </c>
      <c r="AC26" s="1314" t="e">
        <f t="shared" si="14"/>
        <v>#N/A</v>
      </c>
      <c r="AD26" s="1314" t="e">
        <f t="shared" si="15"/>
        <v>#N/A</v>
      </c>
      <c r="AE26" s="1314" t="e">
        <f t="shared" si="16"/>
        <v>#N/A</v>
      </c>
      <c r="AF26" s="1314" t="e">
        <f t="shared" si="17"/>
        <v>#N/A</v>
      </c>
      <c r="AG26" s="1314" t="e">
        <f t="shared" si="18"/>
        <v>#N/A</v>
      </c>
      <c r="AH26" s="1314" t="e">
        <f t="shared" si="19"/>
        <v>#N/A</v>
      </c>
      <c r="AI26" s="1314" t="e">
        <f t="shared" si="20"/>
        <v>#N/A</v>
      </c>
      <c r="AJ26" s="1314" t="e">
        <f t="shared" si="21"/>
        <v>#N/A</v>
      </c>
      <c r="AK26" s="1314" t="e">
        <f t="shared" si="22"/>
        <v>#N/A</v>
      </c>
      <c r="AL26" s="1314" t="e">
        <f t="shared" si="23"/>
        <v>#N/A</v>
      </c>
      <c r="AM26" s="1314" t="e">
        <f t="shared" si="24"/>
        <v>#N/A</v>
      </c>
      <c r="AN26" s="1314" t="e">
        <f t="shared" si="25"/>
        <v>#N/A</v>
      </c>
      <c r="AO26" s="1314" t="e">
        <f t="shared" si="26"/>
        <v>#N/A</v>
      </c>
      <c r="AP26" s="1314" t="e">
        <f t="shared" si="27"/>
        <v>#N/A</v>
      </c>
      <c r="AQ26" s="1314" t="e">
        <f t="shared" si="28"/>
        <v>#N/A</v>
      </c>
      <c r="AR26" s="1314" t="e">
        <f t="shared" si="29"/>
        <v>#N/A</v>
      </c>
      <c r="AS26" s="1314" t="e">
        <f t="shared" si="30"/>
        <v>#N/A</v>
      </c>
      <c r="AT26" s="1314" t="e">
        <f t="shared" si="31"/>
        <v>#N/A</v>
      </c>
      <c r="AU26" s="1314" t="e">
        <f t="shared" si="32"/>
        <v>#N/A</v>
      </c>
      <c r="AV26" s="1314" t="e">
        <f t="shared" si="33"/>
        <v>#N/A</v>
      </c>
      <c r="AW26" s="1314" t="e">
        <f t="shared" si="34"/>
        <v>#N/A</v>
      </c>
      <c r="AX26" s="1314" t="e">
        <f t="shared" si="35"/>
        <v>#N/A</v>
      </c>
      <c r="AY26" s="1314" t="e">
        <f t="shared" si="36"/>
        <v>#N/A</v>
      </c>
      <c r="AZ26" s="1314" t="e">
        <f t="shared" si="37"/>
        <v>#N/A</v>
      </c>
      <c r="BA26" s="1314" t="e">
        <f t="shared" si="38"/>
        <v>#N/A</v>
      </c>
      <c r="BB26" s="1314" t="e">
        <f t="shared" si="39"/>
        <v>#N/A</v>
      </c>
      <c r="BC26" s="1314" t="e">
        <f t="shared" si="40"/>
        <v>#N/A</v>
      </c>
      <c r="BD26" s="1314" t="e">
        <f t="shared" si="41"/>
        <v>#N/A</v>
      </c>
      <c r="BE26" s="1314" t="e">
        <f t="shared" si="42"/>
        <v>#N/A</v>
      </c>
      <c r="BF26" s="1314" t="e">
        <f t="shared" si="43"/>
        <v>#N/A</v>
      </c>
      <c r="BG26" s="1314" t="e">
        <f t="shared" si="44"/>
        <v>#N/A</v>
      </c>
      <c r="BH26" s="1314" t="e">
        <f t="shared" si="45"/>
        <v>#N/A</v>
      </c>
      <c r="BI26" s="1314" t="e">
        <f t="shared" si="46"/>
        <v>#N/A</v>
      </c>
      <c r="BJ26" s="1314" t="e">
        <f t="shared" si="47"/>
        <v>#N/A</v>
      </c>
      <c r="BK26" s="1314" t="e">
        <f t="shared" si="48"/>
        <v>#N/A</v>
      </c>
      <c r="BL26" s="1314" t="e">
        <f t="shared" si="49"/>
        <v>#N/A</v>
      </c>
      <c r="BM26" s="1314" t="e">
        <f t="shared" si="50"/>
        <v>#N/A</v>
      </c>
      <c r="BN26" s="1314" t="e">
        <f t="shared" si="51"/>
        <v>#N/A</v>
      </c>
      <c r="BO26" s="1314" t="e">
        <f t="shared" si="52"/>
        <v>#N/A</v>
      </c>
      <c r="BP26" s="1314" t="e">
        <f t="shared" si="53"/>
        <v>#N/A</v>
      </c>
      <c r="BQ26" s="1314" t="e">
        <f t="shared" si="54"/>
        <v>#N/A</v>
      </c>
      <c r="BR26" s="1314" t="e">
        <f t="shared" si="55"/>
        <v>#N/A</v>
      </c>
      <c r="BS26" s="1314" t="e">
        <f t="shared" si="56"/>
        <v>#N/A</v>
      </c>
      <c r="BT26" s="1314" t="e">
        <f t="shared" si="57"/>
        <v>#N/A</v>
      </c>
      <c r="BU26" s="1314" t="e">
        <f t="shared" si="58"/>
        <v>#N/A</v>
      </c>
      <c r="BV26" s="1314" t="e">
        <f t="shared" si="59"/>
        <v>#N/A</v>
      </c>
      <c r="BW26" s="1314" t="e">
        <f t="shared" si="60"/>
        <v>#N/A</v>
      </c>
      <c r="BX26" s="1314" t="e">
        <f t="shared" si="61"/>
        <v>#N/A</v>
      </c>
      <c r="BY26" s="1314" t="e">
        <f t="shared" si="62"/>
        <v>#N/A</v>
      </c>
      <c r="BZ26" s="1315"/>
      <c r="CA26" s="1315"/>
      <c r="CB26" s="1315"/>
      <c r="CC26" s="1315"/>
      <c r="CD26" s="1315"/>
      <c r="CE26" s="1315"/>
      <c r="CF26" s="1315"/>
      <c r="CG26" s="1315"/>
      <c r="CH26" s="1315"/>
      <c r="CI26" s="1315"/>
      <c r="CJ26" s="1315"/>
      <c r="CK26" s="1315"/>
      <c r="CL26" s="1315"/>
      <c r="CM26" s="1315"/>
      <c r="CN26" s="1315"/>
      <c r="CO26" s="1315"/>
      <c r="CP26" s="1315"/>
      <c r="CQ26" s="1315"/>
      <c r="CR26" s="1315"/>
      <c r="CS26" s="1315"/>
      <c r="CT26" s="1315"/>
      <c r="CU26" s="1315"/>
      <c r="CV26" s="1315"/>
      <c r="CW26" s="1315"/>
      <c r="CX26" s="1315"/>
      <c r="CY26" s="1315"/>
      <c r="CZ26" s="1315"/>
      <c r="DA26" s="1315"/>
      <c r="DB26" s="1315"/>
      <c r="DC26" s="1315"/>
      <c r="DD26" s="1315"/>
      <c r="DE26" s="1315"/>
      <c r="DF26" s="1315"/>
      <c r="DG26" s="1315"/>
      <c r="DH26" s="1315"/>
      <c r="DI26" s="1315"/>
      <c r="DJ26" s="1315"/>
      <c r="DK26" s="1315"/>
      <c r="DL26" s="1315"/>
      <c r="DM26" s="1315"/>
      <c r="DN26" s="1315"/>
      <c r="DO26" s="1315"/>
      <c r="DP26" s="1315"/>
      <c r="DQ26" s="1315"/>
      <c r="DR26" s="1315"/>
      <c r="DS26" s="1315"/>
      <c r="DT26" s="1315"/>
      <c r="DU26" s="1315"/>
      <c r="DV26" s="1315"/>
      <c r="DW26" s="1315"/>
      <c r="DX26" s="1315"/>
      <c r="DY26" s="1315"/>
      <c r="DZ26" s="1315"/>
      <c r="EA26" s="1315"/>
      <c r="EB26" s="1315"/>
      <c r="EC26" s="1315"/>
      <c r="ED26" s="1315"/>
      <c r="EE26" s="1315"/>
      <c r="EF26" s="1315"/>
      <c r="EG26" s="1315"/>
      <c r="EH26" s="1315"/>
      <c r="EI26" s="1315"/>
      <c r="EJ26" s="1315"/>
      <c r="EK26" s="1315"/>
      <c r="EL26" s="1315"/>
      <c r="EM26" s="1315"/>
      <c r="EN26" s="1315"/>
      <c r="EO26" s="1315"/>
      <c r="EP26" s="1315"/>
      <c r="EQ26" s="1315"/>
      <c r="ER26" s="1315"/>
      <c r="ES26" s="1315"/>
      <c r="ET26" s="1315"/>
      <c r="EU26" s="1315"/>
      <c r="EV26" s="1315"/>
      <c r="EW26" s="1315"/>
      <c r="EX26" s="1315"/>
      <c r="EY26" s="1315"/>
      <c r="EZ26" s="1315"/>
      <c r="FA26" s="1315"/>
      <c r="FB26" s="1315"/>
      <c r="FC26" s="1315"/>
      <c r="FD26" s="1315"/>
      <c r="FE26" s="1315"/>
      <c r="FF26" s="1315"/>
      <c r="FG26" s="1315"/>
      <c r="FH26" s="1315"/>
      <c r="FI26" s="1315"/>
      <c r="FJ26" s="1315"/>
      <c r="FK26" s="1315"/>
      <c r="FL26" s="1315"/>
      <c r="FM26" s="1315"/>
      <c r="FN26" s="1315"/>
      <c r="FO26" s="1315"/>
      <c r="FP26" s="1315"/>
      <c r="FQ26" s="1315"/>
      <c r="FR26" s="1315"/>
      <c r="FS26" s="1315"/>
      <c r="FT26" s="1315"/>
      <c r="FU26" s="1315"/>
      <c r="FV26" s="1315"/>
      <c r="FW26" s="1315"/>
      <c r="FX26" s="1315"/>
      <c r="FY26" s="1315"/>
      <c r="FZ26" s="1315"/>
      <c r="GA26" s="1315"/>
      <c r="GB26" s="1315"/>
      <c r="GC26" s="1315"/>
      <c r="GD26" s="1315"/>
      <c r="GE26" s="1315"/>
      <c r="GF26" s="1315"/>
      <c r="GG26" s="1315"/>
      <c r="GH26" s="1315"/>
      <c r="GI26" s="1315"/>
      <c r="GJ26" s="1315"/>
      <c r="GK26" s="1315"/>
      <c r="GL26" s="1315"/>
      <c r="GM26" s="1315"/>
      <c r="GN26" s="1315"/>
      <c r="GO26" s="1315"/>
      <c r="GP26" s="1315"/>
      <c r="GQ26" s="1315"/>
      <c r="GR26" s="1315"/>
      <c r="GS26" s="1315"/>
      <c r="GT26" s="1315"/>
      <c r="GU26" s="1315"/>
      <c r="GV26" s="1315"/>
      <c r="GW26" s="1315"/>
      <c r="GX26" s="1315"/>
      <c r="GY26" s="1315"/>
      <c r="GZ26" s="1315"/>
      <c r="HA26" s="1315"/>
      <c r="HB26" s="1315"/>
      <c r="HC26" s="1315"/>
      <c r="HD26" s="1315"/>
      <c r="HE26" s="1315"/>
      <c r="HF26" s="1315"/>
      <c r="HG26" s="1315"/>
      <c r="HH26" s="1315"/>
      <c r="HI26" s="1315"/>
      <c r="HJ26" s="1315"/>
      <c r="HK26" s="1315"/>
      <c r="HL26" s="1315"/>
      <c r="HM26" s="1315"/>
      <c r="HN26" s="1315"/>
      <c r="HO26" s="1315"/>
      <c r="HP26" s="1315"/>
      <c r="HQ26" s="1315"/>
      <c r="HR26" s="1315"/>
      <c r="HS26" s="1315"/>
      <c r="HT26" s="1315"/>
      <c r="HU26" s="1315"/>
      <c r="HV26" s="1315"/>
      <c r="HW26" s="1315"/>
      <c r="HX26" s="1315"/>
      <c r="HY26" s="1315"/>
      <c r="HZ26" s="1315"/>
      <c r="IA26" s="1315"/>
      <c r="IB26" s="1315"/>
      <c r="IC26" s="1315"/>
      <c r="ID26" s="1315"/>
      <c r="IE26" s="1315"/>
      <c r="IF26" s="1315"/>
      <c r="IG26" s="1315"/>
      <c r="IH26" s="1315"/>
      <c r="II26" s="1315"/>
      <c r="IJ26" s="1315"/>
    </row>
    <row r="27" spans="1:244" s="53" customFormat="1" ht="12" x14ac:dyDescent="0.2">
      <c r="A27" s="444">
        <f t="shared" si="65"/>
        <v>16</v>
      </c>
      <c r="B27" s="1312">
        <v>4217</v>
      </c>
      <c r="C27" s="1313">
        <f t="shared" si="66"/>
        <v>23000</v>
      </c>
      <c r="D27" s="1313">
        <f t="shared" si="9"/>
        <v>23920</v>
      </c>
      <c r="E27" s="1313">
        <f t="shared" ref="E27:Y27" si="71">ROUNDUP(D27*(E$10+1),0)</f>
        <v>24949</v>
      </c>
      <c r="F27" s="1313">
        <f t="shared" si="71"/>
        <v>25698</v>
      </c>
      <c r="G27" s="1313">
        <f t="shared" si="71"/>
        <v>26649</v>
      </c>
      <c r="H27" s="1313">
        <f t="shared" si="71"/>
        <v>27715</v>
      </c>
      <c r="I27" s="1313">
        <f t="shared" si="71"/>
        <v>28824</v>
      </c>
      <c r="J27" s="1314">
        <f t="shared" si="71"/>
        <v>29977</v>
      </c>
      <c r="K27" s="1314" t="e">
        <f t="shared" si="71"/>
        <v>#N/A</v>
      </c>
      <c r="L27" s="1314" t="e">
        <f t="shared" si="71"/>
        <v>#N/A</v>
      </c>
      <c r="M27" s="1314" t="e">
        <f t="shared" si="71"/>
        <v>#N/A</v>
      </c>
      <c r="N27" s="1314" t="e">
        <f t="shared" si="71"/>
        <v>#N/A</v>
      </c>
      <c r="O27" s="1314" t="e">
        <f t="shared" si="71"/>
        <v>#N/A</v>
      </c>
      <c r="P27" s="1314" t="e">
        <f t="shared" si="71"/>
        <v>#N/A</v>
      </c>
      <c r="Q27" s="1314" t="e">
        <f t="shared" si="71"/>
        <v>#N/A</v>
      </c>
      <c r="R27" s="1314" t="e">
        <f t="shared" si="71"/>
        <v>#N/A</v>
      </c>
      <c r="S27" s="1314" t="e">
        <f t="shared" si="71"/>
        <v>#N/A</v>
      </c>
      <c r="T27" s="1314" t="e">
        <f t="shared" si="71"/>
        <v>#N/A</v>
      </c>
      <c r="U27" s="1314" t="e">
        <f t="shared" si="71"/>
        <v>#N/A</v>
      </c>
      <c r="V27" s="1314" t="e">
        <f t="shared" si="71"/>
        <v>#N/A</v>
      </c>
      <c r="W27" s="1314" t="e">
        <f t="shared" si="71"/>
        <v>#N/A</v>
      </c>
      <c r="X27" s="1314" t="e">
        <f t="shared" si="71"/>
        <v>#N/A</v>
      </c>
      <c r="Y27" s="1314" t="e">
        <f t="shared" si="71"/>
        <v>#N/A</v>
      </c>
      <c r="Z27" s="1314" t="e">
        <f t="shared" si="11"/>
        <v>#N/A</v>
      </c>
      <c r="AA27" s="1314" t="e">
        <f t="shared" si="12"/>
        <v>#N/A</v>
      </c>
      <c r="AB27" s="1314" t="e">
        <f t="shared" si="13"/>
        <v>#N/A</v>
      </c>
      <c r="AC27" s="1314" t="e">
        <f t="shared" si="14"/>
        <v>#N/A</v>
      </c>
      <c r="AD27" s="1314" t="e">
        <f t="shared" si="15"/>
        <v>#N/A</v>
      </c>
      <c r="AE27" s="1314" t="e">
        <f t="shared" si="16"/>
        <v>#N/A</v>
      </c>
      <c r="AF27" s="1314" t="e">
        <f t="shared" si="17"/>
        <v>#N/A</v>
      </c>
      <c r="AG27" s="1314" t="e">
        <f t="shared" si="18"/>
        <v>#N/A</v>
      </c>
      <c r="AH27" s="1314" t="e">
        <f t="shared" si="19"/>
        <v>#N/A</v>
      </c>
      <c r="AI27" s="1314" t="e">
        <f t="shared" si="20"/>
        <v>#N/A</v>
      </c>
      <c r="AJ27" s="1314" t="e">
        <f t="shared" si="21"/>
        <v>#N/A</v>
      </c>
      <c r="AK27" s="1314" t="e">
        <f t="shared" si="22"/>
        <v>#N/A</v>
      </c>
      <c r="AL27" s="1314" t="e">
        <f t="shared" si="23"/>
        <v>#N/A</v>
      </c>
      <c r="AM27" s="1314" t="e">
        <f t="shared" si="24"/>
        <v>#N/A</v>
      </c>
      <c r="AN27" s="1314" t="e">
        <f t="shared" si="25"/>
        <v>#N/A</v>
      </c>
      <c r="AO27" s="1314" t="e">
        <f t="shared" si="26"/>
        <v>#N/A</v>
      </c>
      <c r="AP27" s="1314" t="e">
        <f t="shared" si="27"/>
        <v>#N/A</v>
      </c>
      <c r="AQ27" s="1314" t="e">
        <f t="shared" si="28"/>
        <v>#N/A</v>
      </c>
      <c r="AR27" s="1314" t="e">
        <f t="shared" si="29"/>
        <v>#N/A</v>
      </c>
      <c r="AS27" s="1314" t="e">
        <f t="shared" si="30"/>
        <v>#N/A</v>
      </c>
      <c r="AT27" s="1314" t="e">
        <f t="shared" si="31"/>
        <v>#N/A</v>
      </c>
      <c r="AU27" s="1314" t="e">
        <f t="shared" si="32"/>
        <v>#N/A</v>
      </c>
      <c r="AV27" s="1314" t="e">
        <f t="shared" si="33"/>
        <v>#N/A</v>
      </c>
      <c r="AW27" s="1314" t="e">
        <f t="shared" si="34"/>
        <v>#N/A</v>
      </c>
      <c r="AX27" s="1314" t="e">
        <f t="shared" si="35"/>
        <v>#N/A</v>
      </c>
      <c r="AY27" s="1314" t="e">
        <f t="shared" si="36"/>
        <v>#N/A</v>
      </c>
      <c r="AZ27" s="1314" t="e">
        <f t="shared" si="37"/>
        <v>#N/A</v>
      </c>
      <c r="BA27" s="1314" t="e">
        <f t="shared" si="38"/>
        <v>#N/A</v>
      </c>
      <c r="BB27" s="1314" t="e">
        <f t="shared" si="39"/>
        <v>#N/A</v>
      </c>
      <c r="BC27" s="1314" t="e">
        <f t="shared" si="40"/>
        <v>#N/A</v>
      </c>
      <c r="BD27" s="1314" t="e">
        <f t="shared" si="41"/>
        <v>#N/A</v>
      </c>
      <c r="BE27" s="1314" t="e">
        <f t="shared" si="42"/>
        <v>#N/A</v>
      </c>
      <c r="BF27" s="1314" t="e">
        <f t="shared" si="43"/>
        <v>#N/A</v>
      </c>
      <c r="BG27" s="1314" t="e">
        <f t="shared" si="44"/>
        <v>#N/A</v>
      </c>
      <c r="BH27" s="1314" t="e">
        <f t="shared" si="45"/>
        <v>#N/A</v>
      </c>
      <c r="BI27" s="1314" t="e">
        <f t="shared" si="46"/>
        <v>#N/A</v>
      </c>
      <c r="BJ27" s="1314" t="e">
        <f t="shared" si="47"/>
        <v>#N/A</v>
      </c>
      <c r="BK27" s="1314" t="e">
        <f t="shared" si="48"/>
        <v>#N/A</v>
      </c>
      <c r="BL27" s="1314" t="e">
        <f t="shared" si="49"/>
        <v>#N/A</v>
      </c>
      <c r="BM27" s="1314" t="e">
        <f t="shared" si="50"/>
        <v>#N/A</v>
      </c>
      <c r="BN27" s="1314" t="e">
        <f t="shared" si="51"/>
        <v>#N/A</v>
      </c>
      <c r="BO27" s="1314" t="e">
        <f t="shared" si="52"/>
        <v>#N/A</v>
      </c>
      <c r="BP27" s="1314" t="e">
        <f t="shared" si="53"/>
        <v>#N/A</v>
      </c>
      <c r="BQ27" s="1314" t="e">
        <f t="shared" si="54"/>
        <v>#N/A</v>
      </c>
      <c r="BR27" s="1314" t="e">
        <f t="shared" si="55"/>
        <v>#N/A</v>
      </c>
      <c r="BS27" s="1314" t="e">
        <f t="shared" si="56"/>
        <v>#N/A</v>
      </c>
      <c r="BT27" s="1314" t="e">
        <f t="shared" si="57"/>
        <v>#N/A</v>
      </c>
      <c r="BU27" s="1314" t="e">
        <f t="shared" si="58"/>
        <v>#N/A</v>
      </c>
      <c r="BV27" s="1314" t="e">
        <f t="shared" si="59"/>
        <v>#N/A</v>
      </c>
      <c r="BW27" s="1314" t="e">
        <f t="shared" si="60"/>
        <v>#N/A</v>
      </c>
      <c r="BX27" s="1314" t="e">
        <f t="shared" si="61"/>
        <v>#N/A</v>
      </c>
      <c r="BY27" s="1314" t="e">
        <f t="shared" si="62"/>
        <v>#N/A</v>
      </c>
      <c r="BZ27" s="1315"/>
      <c r="CA27" s="1315"/>
      <c r="CB27" s="1315"/>
      <c r="CC27" s="1315"/>
      <c r="CD27" s="1315"/>
      <c r="CE27" s="1315"/>
      <c r="CF27" s="1315"/>
      <c r="CG27" s="1315"/>
      <c r="CH27" s="1315"/>
      <c r="CI27" s="1315"/>
      <c r="CJ27" s="1315"/>
      <c r="CK27" s="1315"/>
      <c r="CL27" s="1315"/>
      <c r="CM27" s="1315"/>
      <c r="CN27" s="1315"/>
      <c r="CO27" s="1315"/>
      <c r="CP27" s="1315"/>
      <c r="CQ27" s="1315"/>
      <c r="CR27" s="1315"/>
      <c r="CS27" s="1315"/>
      <c r="CT27" s="1315"/>
      <c r="CU27" s="1315"/>
      <c r="CV27" s="1315"/>
      <c r="CW27" s="1315"/>
      <c r="CX27" s="1315"/>
      <c r="CY27" s="1315"/>
      <c r="CZ27" s="1315"/>
      <c r="DA27" s="1315"/>
      <c r="DB27" s="1315"/>
      <c r="DC27" s="1315"/>
      <c r="DD27" s="1315"/>
      <c r="DE27" s="1315"/>
      <c r="DF27" s="1315"/>
      <c r="DG27" s="1315"/>
      <c r="DH27" s="1315"/>
      <c r="DI27" s="1315"/>
      <c r="DJ27" s="1315"/>
      <c r="DK27" s="1315"/>
      <c r="DL27" s="1315"/>
      <c r="DM27" s="1315"/>
      <c r="DN27" s="1315"/>
      <c r="DO27" s="1315"/>
      <c r="DP27" s="1315"/>
      <c r="DQ27" s="1315"/>
      <c r="DR27" s="1315"/>
      <c r="DS27" s="1315"/>
      <c r="DT27" s="1315"/>
      <c r="DU27" s="1315"/>
      <c r="DV27" s="1315"/>
      <c r="DW27" s="1315"/>
      <c r="DX27" s="1315"/>
      <c r="DY27" s="1315"/>
      <c r="DZ27" s="1315"/>
      <c r="EA27" s="1315"/>
      <c r="EB27" s="1315"/>
      <c r="EC27" s="1315"/>
      <c r="ED27" s="1315"/>
      <c r="EE27" s="1315"/>
      <c r="EF27" s="1315"/>
      <c r="EG27" s="1315"/>
      <c r="EH27" s="1315"/>
      <c r="EI27" s="1315"/>
      <c r="EJ27" s="1315"/>
      <c r="EK27" s="1315"/>
      <c r="EL27" s="1315"/>
      <c r="EM27" s="1315"/>
      <c r="EN27" s="1315"/>
      <c r="EO27" s="1315"/>
      <c r="EP27" s="1315"/>
      <c r="EQ27" s="1315"/>
      <c r="ER27" s="1315"/>
      <c r="ES27" s="1315"/>
      <c r="ET27" s="1315"/>
      <c r="EU27" s="1315"/>
      <c r="EV27" s="1315"/>
      <c r="EW27" s="1315"/>
      <c r="EX27" s="1315"/>
      <c r="EY27" s="1315"/>
      <c r="EZ27" s="1315"/>
      <c r="FA27" s="1315"/>
      <c r="FB27" s="1315"/>
      <c r="FC27" s="1315"/>
      <c r="FD27" s="1315"/>
      <c r="FE27" s="1315"/>
      <c r="FF27" s="1315"/>
      <c r="FG27" s="1315"/>
      <c r="FH27" s="1315"/>
      <c r="FI27" s="1315"/>
      <c r="FJ27" s="1315"/>
      <c r="FK27" s="1315"/>
      <c r="FL27" s="1315"/>
      <c r="FM27" s="1315"/>
      <c r="FN27" s="1315"/>
      <c r="FO27" s="1315"/>
      <c r="FP27" s="1315"/>
      <c r="FQ27" s="1315"/>
      <c r="FR27" s="1315"/>
      <c r="FS27" s="1315"/>
      <c r="FT27" s="1315"/>
      <c r="FU27" s="1315"/>
      <c r="FV27" s="1315"/>
      <c r="FW27" s="1315"/>
      <c r="FX27" s="1315"/>
      <c r="FY27" s="1315"/>
      <c r="FZ27" s="1315"/>
      <c r="GA27" s="1315"/>
      <c r="GB27" s="1315"/>
      <c r="GC27" s="1315"/>
      <c r="GD27" s="1315"/>
      <c r="GE27" s="1315"/>
      <c r="GF27" s="1315"/>
      <c r="GG27" s="1315"/>
      <c r="GH27" s="1315"/>
      <c r="GI27" s="1315"/>
      <c r="GJ27" s="1315"/>
      <c r="GK27" s="1315"/>
      <c r="GL27" s="1315"/>
      <c r="GM27" s="1315"/>
      <c r="GN27" s="1315"/>
      <c r="GO27" s="1315"/>
      <c r="GP27" s="1315"/>
      <c r="GQ27" s="1315"/>
      <c r="GR27" s="1315"/>
      <c r="GS27" s="1315"/>
      <c r="GT27" s="1315"/>
      <c r="GU27" s="1315"/>
      <c r="GV27" s="1315"/>
      <c r="GW27" s="1315"/>
      <c r="GX27" s="1315"/>
      <c r="GY27" s="1315"/>
      <c r="GZ27" s="1315"/>
      <c r="HA27" s="1315"/>
      <c r="HB27" s="1315"/>
      <c r="HC27" s="1315"/>
      <c r="HD27" s="1315"/>
      <c r="HE27" s="1315"/>
      <c r="HF27" s="1315"/>
      <c r="HG27" s="1315"/>
      <c r="HH27" s="1315"/>
      <c r="HI27" s="1315"/>
      <c r="HJ27" s="1315"/>
      <c r="HK27" s="1315"/>
      <c r="HL27" s="1315"/>
      <c r="HM27" s="1315"/>
      <c r="HN27" s="1315"/>
      <c r="HO27" s="1315"/>
      <c r="HP27" s="1315"/>
      <c r="HQ27" s="1315"/>
      <c r="HR27" s="1315"/>
      <c r="HS27" s="1315"/>
      <c r="HT27" s="1315"/>
      <c r="HU27" s="1315"/>
      <c r="HV27" s="1315"/>
      <c r="HW27" s="1315"/>
      <c r="HX27" s="1315"/>
      <c r="HY27" s="1315"/>
      <c r="HZ27" s="1315"/>
      <c r="IA27" s="1315"/>
      <c r="IB27" s="1315"/>
      <c r="IC27" s="1315"/>
      <c r="ID27" s="1315"/>
      <c r="IE27" s="1315"/>
      <c r="IF27" s="1315"/>
      <c r="IG27" s="1315"/>
      <c r="IH27" s="1315"/>
      <c r="II27" s="1315"/>
      <c r="IJ27" s="1315"/>
    </row>
    <row r="28" spans="1:244" s="53" customFormat="1" ht="12" x14ac:dyDescent="0.2">
      <c r="A28" s="444">
        <f t="shared" si="65"/>
        <v>17</v>
      </c>
      <c r="B28" s="1312">
        <v>4328</v>
      </c>
      <c r="C28" s="1313">
        <f t="shared" si="66"/>
        <v>23500</v>
      </c>
      <c r="D28" s="1313">
        <f t="shared" si="9"/>
        <v>24440</v>
      </c>
      <c r="E28" s="1313">
        <f t="shared" ref="E28:Y28" si="72">ROUNDUP(D28*(E$10+1),0)</f>
        <v>25491</v>
      </c>
      <c r="F28" s="1313">
        <f t="shared" si="72"/>
        <v>26256</v>
      </c>
      <c r="G28" s="1313">
        <f t="shared" si="72"/>
        <v>27228</v>
      </c>
      <c r="H28" s="1313">
        <f t="shared" si="72"/>
        <v>28318</v>
      </c>
      <c r="I28" s="1313">
        <f t="shared" si="72"/>
        <v>29451</v>
      </c>
      <c r="J28" s="1314">
        <f t="shared" si="72"/>
        <v>30630</v>
      </c>
      <c r="K28" s="1314" t="e">
        <f t="shared" si="72"/>
        <v>#N/A</v>
      </c>
      <c r="L28" s="1314" t="e">
        <f t="shared" si="72"/>
        <v>#N/A</v>
      </c>
      <c r="M28" s="1314" t="e">
        <f t="shared" si="72"/>
        <v>#N/A</v>
      </c>
      <c r="N28" s="1314" t="e">
        <f t="shared" si="72"/>
        <v>#N/A</v>
      </c>
      <c r="O28" s="1314" t="e">
        <f t="shared" si="72"/>
        <v>#N/A</v>
      </c>
      <c r="P28" s="1314" t="e">
        <f t="shared" si="72"/>
        <v>#N/A</v>
      </c>
      <c r="Q28" s="1314" t="e">
        <f t="shared" si="72"/>
        <v>#N/A</v>
      </c>
      <c r="R28" s="1314" t="e">
        <f t="shared" si="72"/>
        <v>#N/A</v>
      </c>
      <c r="S28" s="1314" t="e">
        <f t="shared" si="72"/>
        <v>#N/A</v>
      </c>
      <c r="T28" s="1314" t="e">
        <f t="shared" si="72"/>
        <v>#N/A</v>
      </c>
      <c r="U28" s="1314" t="e">
        <f t="shared" si="72"/>
        <v>#N/A</v>
      </c>
      <c r="V28" s="1314" t="e">
        <f t="shared" si="72"/>
        <v>#N/A</v>
      </c>
      <c r="W28" s="1314" t="e">
        <f t="shared" si="72"/>
        <v>#N/A</v>
      </c>
      <c r="X28" s="1314" t="e">
        <f t="shared" si="72"/>
        <v>#N/A</v>
      </c>
      <c r="Y28" s="1314" t="e">
        <f t="shared" si="72"/>
        <v>#N/A</v>
      </c>
      <c r="Z28" s="1314" t="e">
        <f t="shared" si="11"/>
        <v>#N/A</v>
      </c>
      <c r="AA28" s="1314" t="e">
        <f t="shared" si="12"/>
        <v>#N/A</v>
      </c>
      <c r="AB28" s="1314" t="e">
        <f t="shared" si="13"/>
        <v>#N/A</v>
      </c>
      <c r="AC28" s="1314" t="e">
        <f t="shared" si="14"/>
        <v>#N/A</v>
      </c>
      <c r="AD28" s="1314" t="e">
        <f t="shared" si="15"/>
        <v>#N/A</v>
      </c>
      <c r="AE28" s="1314" t="e">
        <f t="shared" si="16"/>
        <v>#N/A</v>
      </c>
      <c r="AF28" s="1314" t="e">
        <f t="shared" si="17"/>
        <v>#N/A</v>
      </c>
      <c r="AG28" s="1314" t="e">
        <f t="shared" si="18"/>
        <v>#N/A</v>
      </c>
      <c r="AH28" s="1314" t="e">
        <f t="shared" si="19"/>
        <v>#N/A</v>
      </c>
      <c r="AI28" s="1314" t="e">
        <f t="shared" si="20"/>
        <v>#N/A</v>
      </c>
      <c r="AJ28" s="1314" t="e">
        <f t="shared" si="21"/>
        <v>#N/A</v>
      </c>
      <c r="AK28" s="1314" t="e">
        <f t="shared" si="22"/>
        <v>#N/A</v>
      </c>
      <c r="AL28" s="1314" t="e">
        <f t="shared" si="23"/>
        <v>#N/A</v>
      </c>
      <c r="AM28" s="1314" t="e">
        <f t="shared" si="24"/>
        <v>#N/A</v>
      </c>
      <c r="AN28" s="1314" t="e">
        <f t="shared" si="25"/>
        <v>#N/A</v>
      </c>
      <c r="AO28" s="1314" t="e">
        <f t="shared" si="26"/>
        <v>#N/A</v>
      </c>
      <c r="AP28" s="1314" t="e">
        <f t="shared" si="27"/>
        <v>#N/A</v>
      </c>
      <c r="AQ28" s="1314" t="e">
        <f t="shared" si="28"/>
        <v>#N/A</v>
      </c>
      <c r="AR28" s="1314" t="e">
        <f t="shared" si="29"/>
        <v>#N/A</v>
      </c>
      <c r="AS28" s="1314" t="e">
        <f t="shared" si="30"/>
        <v>#N/A</v>
      </c>
      <c r="AT28" s="1314" t="e">
        <f t="shared" si="31"/>
        <v>#N/A</v>
      </c>
      <c r="AU28" s="1314" t="e">
        <f t="shared" si="32"/>
        <v>#N/A</v>
      </c>
      <c r="AV28" s="1314" t="e">
        <f t="shared" si="33"/>
        <v>#N/A</v>
      </c>
      <c r="AW28" s="1314" t="e">
        <f t="shared" si="34"/>
        <v>#N/A</v>
      </c>
      <c r="AX28" s="1314" t="e">
        <f t="shared" si="35"/>
        <v>#N/A</v>
      </c>
      <c r="AY28" s="1314" t="e">
        <f t="shared" si="36"/>
        <v>#N/A</v>
      </c>
      <c r="AZ28" s="1314" t="e">
        <f t="shared" si="37"/>
        <v>#N/A</v>
      </c>
      <c r="BA28" s="1314" t="e">
        <f t="shared" si="38"/>
        <v>#N/A</v>
      </c>
      <c r="BB28" s="1314" t="e">
        <f t="shared" si="39"/>
        <v>#N/A</v>
      </c>
      <c r="BC28" s="1314" t="e">
        <f t="shared" si="40"/>
        <v>#N/A</v>
      </c>
      <c r="BD28" s="1314" t="e">
        <f t="shared" si="41"/>
        <v>#N/A</v>
      </c>
      <c r="BE28" s="1314" t="e">
        <f t="shared" si="42"/>
        <v>#N/A</v>
      </c>
      <c r="BF28" s="1314" t="e">
        <f t="shared" si="43"/>
        <v>#N/A</v>
      </c>
      <c r="BG28" s="1314" t="e">
        <f t="shared" si="44"/>
        <v>#N/A</v>
      </c>
      <c r="BH28" s="1314" t="e">
        <f t="shared" si="45"/>
        <v>#N/A</v>
      </c>
      <c r="BI28" s="1314" t="e">
        <f t="shared" si="46"/>
        <v>#N/A</v>
      </c>
      <c r="BJ28" s="1314" t="e">
        <f t="shared" si="47"/>
        <v>#N/A</v>
      </c>
      <c r="BK28" s="1314" t="e">
        <f t="shared" si="48"/>
        <v>#N/A</v>
      </c>
      <c r="BL28" s="1314" t="e">
        <f t="shared" si="49"/>
        <v>#N/A</v>
      </c>
      <c r="BM28" s="1314" t="e">
        <f t="shared" si="50"/>
        <v>#N/A</v>
      </c>
      <c r="BN28" s="1314" t="e">
        <f t="shared" si="51"/>
        <v>#N/A</v>
      </c>
      <c r="BO28" s="1314" t="e">
        <f t="shared" si="52"/>
        <v>#N/A</v>
      </c>
      <c r="BP28" s="1314" t="e">
        <f t="shared" si="53"/>
        <v>#N/A</v>
      </c>
      <c r="BQ28" s="1314" t="e">
        <f t="shared" si="54"/>
        <v>#N/A</v>
      </c>
      <c r="BR28" s="1314" t="e">
        <f t="shared" si="55"/>
        <v>#N/A</v>
      </c>
      <c r="BS28" s="1314" t="e">
        <f t="shared" si="56"/>
        <v>#N/A</v>
      </c>
      <c r="BT28" s="1314" t="e">
        <f t="shared" si="57"/>
        <v>#N/A</v>
      </c>
      <c r="BU28" s="1314" t="e">
        <f t="shared" si="58"/>
        <v>#N/A</v>
      </c>
      <c r="BV28" s="1314" t="e">
        <f t="shared" si="59"/>
        <v>#N/A</v>
      </c>
      <c r="BW28" s="1314" t="e">
        <f t="shared" si="60"/>
        <v>#N/A</v>
      </c>
      <c r="BX28" s="1314" t="e">
        <f t="shared" si="61"/>
        <v>#N/A</v>
      </c>
      <c r="BY28" s="1314" t="e">
        <f t="shared" si="62"/>
        <v>#N/A</v>
      </c>
      <c r="BZ28" s="1315"/>
      <c r="CA28" s="1315"/>
      <c r="CB28" s="1315"/>
      <c r="CC28" s="1315"/>
      <c r="CD28" s="1315"/>
      <c r="CE28" s="1315"/>
      <c r="CF28" s="1315"/>
      <c r="CG28" s="1315"/>
      <c r="CH28" s="1315"/>
      <c r="CI28" s="1315"/>
      <c r="CJ28" s="1315"/>
      <c r="CK28" s="1315"/>
      <c r="CL28" s="1315"/>
      <c r="CM28" s="1315"/>
      <c r="CN28" s="1315"/>
      <c r="CO28" s="1315"/>
      <c r="CP28" s="1315"/>
      <c r="CQ28" s="1315"/>
      <c r="CR28" s="1315"/>
      <c r="CS28" s="1315"/>
      <c r="CT28" s="1315"/>
      <c r="CU28" s="1315"/>
      <c r="CV28" s="1315"/>
      <c r="CW28" s="1315"/>
      <c r="CX28" s="1315"/>
      <c r="CY28" s="1315"/>
      <c r="CZ28" s="1315"/>
      <c r="DA28" s="1315"/>
      <c r="DB28" s="1315"/>
      <c r="DC28" s="1315"/>
      <c r="DD28" s="1315"/>
      <c r="DE28" s="1315"/>
      <c r="DF28" s="1315"/>
      <c r="DG28" s="1315"/>
      <c r="DH28" s="1315"/>
      <c r="DI28" s="1315"/>
      <c r="DJ28" s="1315"/>
      <c r="DK28" s="1315"/>
      <c r="DL28" s="1315"/>
      <c r="DM28" s="1315"/>
      <c r="DN28" s="1315"/>
      <c r="DO28" s="1315"/>
      <c r="DP28" s="1315"/>
      <c r="DQ28" s="1315"/>
      <c r="DR28" s="1315"/>
      <c r="DS28" s="1315"/>
      <c r="DT28" s="1315"/>
      <c r="DU28" s="1315"/>
      <c r="DV28" s="1315"/>
      <c r="DW28" s="1315"/>
      <c r="DX28" s="1315"/>
      <c r="DY28" s="1315"/>
      <c r="DZ28" s="1315"/>
      <c r="EA28" s="1315"/>
      <c r="EB28" s="1315"/>
      <c r="EC28" s="1315"/>
      <c r="ED28" s="1315"/>
      <c r="EE28" s="1315"/>
      <c r="EF28" s="1315"/>
      <c r="EG28" s="1315"/>
      <c r="EH28" s="1315"/>
      <c r="EI28" s="1315"/>
      <c r="EJ28" s="1315"/>
      <c r="EK28" s="1315"/>
      <c r="EL28" s="1315"/>
      <c r="EM28" s="1315"/>
      <c r="EN28" s="1315"/>
      <c r="EO28" s="1315"/>
      <c r="EP28" s="1315"/>
      <c r="EQ28" s="1315"/>
      <c r="ER28" s="1315"/>
      <c r="ES28" s="1315"/>
      <c r="ET28" s="1315"/>
      <c r="EU28" s="1315"/>
      <c r="EV28" s="1315"/>
      <c r="EW28" s="1315"/>
      <c r="EX28" s="1315"/>
      <c r="EY28" s="1315"/>
      <c r="EZ28" s="1315"/>
      <c r="FA28" s="1315"/>
      <c r="FB28" s="1315"/>
      <c r="FC28" s="1315"/>
      <c r="FD28" s="1315"/>
      <c r="FE28" s="1315"/>
      <c r="FF28" s="1315"/>
      <c r="FG28" s="1315"/>
      <c r="FH28" s="1315"/>
      <c r="FI28" s="1315"/>
      <c r="FJ28" s="1315"/>
      <c r="FK28" s="1315"/>
      <c r="FL28" s="1315"/>
      <c r="FM28" s="1315"/>
      <c r="FN28" s="1315"/>
      <c r="FO28" s="1315"/>
      <c r="FP28" s="1315"/>
      <c r="FQ28" s="1315"/>
      <c r="FR28" s="1315"/>
      <c r="FS28" s="1315"/>
      <c r="FT28" s="1315"/>
      <c r="FU28" s="1315"/>
      <c r="FV28" s="1315"/>
      <c r="FW28" s="1315"/>
      <c r="FX28" s="1315"/>
      <c r="FY28" s="1315"/>
      <c r="FZ28" s="1315"/>
      <c r="GA28" s="1315"/>
      <c r="GB28" s="1315"/>
      <c r="GC28" s="1315"/>
      <c r="GD28" s="1315"/>
      <c r="GE28" s="1315"/>
      <c r="GF28" s="1315"/>
      <c r="GG28" s="1315"/>
      <c r="GH28" s="1315"/>
      <c r="GI28" s="1315"/>
      <c r="GJ28" s="1315"/>
      <c r="GK28" s="1315"/>
      <c r="GL28" s="1315"/>
      <c r="GM28" s="1315"/>
      <c r="GN28" s="1315"/>
      <c r="GO28" s="1315"/>
      <c r="GP28" s="1315"/>
      <c r="GQ28" s="1315"/>
      <c r="GR28" s="1315"/>
      <c r="GS28" s="1315"/>
      <c r="GT28" s="1315"/>
      <c r="GU28" s="1315"/>
      <c r="GV28" s="1315"/>
      <c r="GW28" s="1315"/>
      <c r="GX28" s="1315"/>
      <c r="GY28" s="1315"/>
      <c r="GZ28" s="1315"/>
      <c r="HA28" s="1315"/>
      <c r="HB28" s="1315"/>
      <c r="HC28" s="1315"/>
      <c r="HD28" s="1315"/>
      <c r="HE28" s="1315"/>
      <c r="HF28" s="1315"/>
      <c r="HG28" s="1315"/>
      <c r="HH28" s="1315"/>
      <c r="HI28" s="1315"/>
      <c r="HJ28" s="1315"/>
      <c r="HK28" s="1315"/>
      <c r="HL28" s="1315"/>
      <c r="HM28" s="1315"/>
      <c r="HN28" s="1315"/>
      <c r="HO28" s="1315"/>
      <c r="HP28" s="1315"/>
      <c r="HQ28" s="1315"/>
      <c r="HR28" s="1315"/>
      <c r="HS28" s="1315"/>
      <c r="HT28" s="1315"/>
      <c r="HU28" s="1315"/>
      <c r="HV28" s="1315"/>
      <c r="HW28" s="1315"/>
      <c r="HX28" s="1315"/>
      <c r="HY28" s="1315"/>
      <c r="HZ28" s="1315"/>
      <c r="IA28" s="1315"/>
      <c r="IB28" s="1315"/>
      <c r="IC28" s="1315"/>
      <c r="ID28" s="1315"/>
      <c r="IE28" s="1315"/>
      <c r="IF28" s="1315"/>
      <c r="IG28" s="1315"/>
      <c r="IH28" s="1315"/>
      <c r="II28" s="1315"/>
      <c r="IJ28" s="1315"/>
    </row>
    <row r="29" spans="1:244" s="53" customFormat="1" ht="12" x14ac:dyDescent="0.2">
      <c r="A29" s="444">
        <f t="shared" si="65"/>
        <v>18</v>
      </c>
      <c r="B29" s="1312">
        <v>4437</v>
      </c>
      <c r="C29" s="1313">
        <f t="shared" si="66"/>
        <v>24000</v>
      </c>
      <c r="D29" s="1313">
        <f t="shared" si="9"/>
        <v>24960</v>
      </c>
      <c r="E29" s="1313">
        <f t="shared" ref="E29:Y29" si="73">ROUNDUP(D29*(E$10+1),0)</f>
        <v>26034</v>
      </c>
      <c r="F29" s="1313">
        <f t="shared" si="73"/>
        <v>26816</v>
      </c>
      <c r="G29" s="1313">
        <f t="shared" si="73"/>
        <v>27809</v>
      </c>
      <c r="H29" s="1313">
        <f t="shared" si="73"/>
        <v>28922</v>
      </c>
      <c r="I29" s="1313">
        <f t="shared" si="73"/>
        <v>30079</v>
      </c>
      <c r="J29" s="1314">
        <f t="shared" si="73"/>
        <v>31283</v>
      </c>
      <c r="K29" s="1314" t="e">
        <f t="shared" si="73"/>
        <v>#N/A</v>
      </c>
      <c r="L29" s="1314" t="e">
        <f t="shared" si="73"/>
        <v>#N/A</v>
      </c>
      <c r="M29" s="1314" t="e">
        <f t="shared" si="73"/>
        <v>#N/A</v>
      </c>
      <c r="N29" s="1314" t="e">
        <f t="shared" si="73"/>
        <v>#N/A</v>
      </c>
      <c r="O29" s="1314" t="e">
        <f t="shared" si="73"/>
        <v>#N/A</v>
      </c>
      <c r="P29" s="1314" t="e">
        <f t="shared" si="73"/>
        <v>#N/A</v>
      </c>
      <c r="Q29" s="1314" t="e">
        <f t="shared" si="73"/>
        <v>#N/A</v>
      </c>
      <c r="R29" s="1314" t="e">
        <f t="shared" si="73"/>
        <v>#N/A</v>
      </c>
      <c r="S29" s="1314" t="e">
        <f t="shared" si="73"/>
        <v>#N/A</v>
      </c>
      <c r="T29" s="1314" t="e">
        <f t="shared" si="73"/>
        <v>#N/A</v>
      </c>
      <c r="U29" s="1314" t="e">
        <f t="shared" si="73"/>
        <v>#N/A</v>
      </c>
      <c r="V29" s="1314" t="e">
        <f t="shared" si="73"/>
        <v>#N/A</v>
      </c>
      <c r="W29" s="1314" t="e">
        <f t="shared" si="73"/>
        <v>#N/A</v>
      </c>
      <c r="X29" s="1314" t="e">
        <f t="shared" si="73"/>
        <v>#N/A</v>
      </c>
      <c r="Y29" s="1314" t="e">
        <f t="shared" si="73"/>
        <v>#N/A</v>
      </c>
      <c r="Z29" s="1314" t="e">
        <f t="shared" si="11"/>
        <v>#N/A</v>
      </c>
      <c r="AA29" s="1314" t="e">
        <f t="shared" si="12"/>
        <v>#N/A</v>
      </c>
      <c r="AB29" s="1314" t="e">
        <f t="shared" si="13"/>
        <v>#N/A</v>
      </c>
      <c r="AC29" s="1314" t="e">
        <f t="shared" si="14"/>
        <v>#N/A</v>
      </c>
      <c r="AD29" s="1314" t="e">
        <f t="shared" si="15"/>
        <v>#N/A</v>
      </c>
      <c r="AE29" s="1314" t="e">
        <f t="shared" si="16"/>
        <v>#N/A</v>
      </c>
      <c r="AF29" s="1314" t="e">
        <f t="shared" si="17"/>
        <v>#N/A</v>
      </c>
      <c r="AG29" s="1314" t="e">
        <f t="shared" si="18"/>
        <v>#N/A</v>
      </c>
      <c r="AH29" s="1314" t="e">
        <f t="shared" si="19"/>
        <v>#N/A</v>
      </c>
      <c r="AI29" s="1314" t="e">
        <f t="shared" si="20"/>
        <v>#N/A</v>
      </c>
      <c r="AJ29" s="1314" t="e">
        <f t="shared" si="21"/>
        <v>#N/A</v>
      </c>
      <c r="AK29" s="1314" t="e">
        <f t="shared" si="22"/>
        <v>#N/A</v>
      </c>
      <c r="AL29" s="1314" t="e">
        <f t="shared" si="23"/>
        <v>#N/A</v>
      </c>
      <c r="AM29" s="1314" t="e">
        <f t="shared" si="24"/>
        <v>#N/A</v>
      </c>
      <c r="AN29" s="1314" t="e">
        <f t="shared" si="25"/>
        <v>#N/A</v>
      </c>
      <c r="AO29" s="1314" t="e">
        <f t="shared" si="26"/>
        <v>#N/A</v>
      </c>
      <c r="AP29" s="1314" t="e">
        <f t="shared" si="27"/>
        <v>#N/A</v>
      </c>
      <c r="AQ29" s="1314" t="e">
        <f t="shared" si="28"/>
        <v>#N/A</v>
      </c>
      <c r="AR29" s="1314" t="e">
        <f t="shared" si="29"/>
        <v>#N/A</v>
      </c>
      <c r="AS29" s="1314" t="e">
        <f t="shared" si="30"/>
        <v>#N/A</v>
      </c>
      <c r="AT29" s="1314" t="e">
        <f t="shared" si="31"/>
        <v>#N/A</v>
      </c>
      <c r="AU29" s="1314" t="e">
        <f t="shared" si="32"/>
        <v>#N/A</v>
      </c>
      <c r="AV29" s="1314" t="e">
        <f t="shared" si="33"/>
        <v>#N/A</v>
      </c>
      <c r="AW29" s="1314" t="e">
        <f t="shared" si="34"/>
        <v>#N/A</v>
      </c>
      <c r="AX29" s="1314" t="e">
        <f t="shared" si="35"/>
        <v>#N/A</v>
      </c>
      <c r="AY29" s="1314" t="e">
        <f t="shared" si="36"/>
        <v>#N/A</v>
      </c>
      <c r="AZ29" s="1314" t="e">
        <f t="shared" si="37"/>
        <v>#N/A</v>
      </c>
      <c r="BA29" s="1314" t="e">
        <f t="shared" si="38"/>
        <v>#N/A</v>
      </c>
      <c r="BB29" s="1314" t="e">
        <f t="shared" si="39"/>
        <v>#N/A</v>
      </c>
      <c r="BC29" s="1314" t="e">
        <f t="shared" si="40"/>
        <v>#N/A</v>
      </c>
      <c r="BD29" s="1314" t="e">
        <f t="shared" si="41"/>
        <v>#N/A</v>
      </c>
      <c r="BE29" s="1314" t="e">
        <f t="shared" si="42"/>
        <v>#N/A</v>
      </c>
      <c r="BF29" s="1314" t="e">
        <f t="shared" si="43"/>
        <v>#N/A</v>
      </c>
      <c r="BG29" s="1314" t="e">
        <f t="shared" si="44"/>
        <v>#N/A</v>
      </c>
      <c r="BH29" s="1314" t="e">
        <f t="shared" si="45"/>
        <v>#N/A</v>
      </c>
      <c r="BI29" s="1314" t="e">
        <f t="shared" si="46"/>
        <v>#N/A</v>
      </c>
      <c r="BJ29" s="1314" t="e">
        <f t="shared" si="47"/>
        <v>#N/A</v>
      </c>
      <c r="BK29" s="1314" t="e">
        <f t="shared" si="48"/>
        <v>#N/A</v>
      </c>
      <c r="BL29" s="1314" t="e">
        <f t="shared" si="49"/>
        <v>#N/A</v>
      </c>
      <c r="BM29" s="1314" t="e">
        <f t="shared" si="50"/>
        <v>#N/A</v>
      </c>
      <c r="BN29" s="1314" t="e">
        <f t="shared" si="51"/>
        <v>#N/A</v>
      </c>
      <c r="BO29" s="1314" t="e">
        <f t="shared" si="52"/>
        <v>#N/A</v>
      </c>
      <c r="BP29" s="1314" t="e">
        <f t="shared" si="53"/>
        <v>#N/A</v>
      </c>
      <c r="BQ29" s="1314" t="e">
        <f t="shared" si="54"/>
        <v>#N/A</v>
      </c>
      <c r="BR29" s="1314" t="e">
        <f t="shared" si="55"/>
        <v>#N/A</v>
      </c>
      <c r="BS29" s="1314" t="e">
        <f t="shared" si="56"/>
        <v>#N/A</v>
      </c>
      <c r="BT29" s="1314" t="e">
        <f t="shared" si="57"/>
        <v>#N/A</v>
      </c>
      <c r="BU29" s="1314" t="e">
        <f t="shared" si="58"/>
        <v>#N/A</v>
      </c>
      <c r="BV29" s="1314" t="e">
        <f t="shared" si="59"/>
        <v>#N/A</v>
      </c>
      <c r="BW29" s="1314" t="e">
        <f t="shared" si="60"/>
        <v>#N/A</v>
      </c>
      <c r="BX29" s="1314" t="e">
        <f t="shared" si="61"/>
        <v>#N/A</v>
      </c>
      <c r="BY29" s="1314" t="e">
        <f t="shared" si="62"/>
        <v>#N/A</v>
      </c>
      <c r="BZ29" s="1315"/>
      <c r="CA29" s="1315"/>
      <c r="CB29" s="1315"/>
      <c r="CC29" s="1315"/>
      <c r="CD29" s="1315"/>
      <c r="CE29" s="1315"/>
      <c r="CF29" s="1315"/>
      <c r="CG29" s="1315"/>
      <c r="CH29" s="1315"/>
      <c r="CI29" s="1315"/>
      <c r="CJ29" s="1315"/>
      <c r="CK29" s="1315"/>
      <c r="CL29" s="1315"/>
      <c r="CM29" s="1315"/>
      <c r="CN29" s="1315"/>
      <c r="CO29" s="1315"/>
      <c r="CP29" s="1315"/>
      <c r="CQ29" s="1315"/>
      <c r="CR29" s="1315"/>
      <c r="CS29" s="1315"/>
      <c r="CT29" s="1315"/>
      <c r="CU29" s="1315"/>
      <c r="CV29" s="1315"/>
      <c r="CW29" s="1315"/>
      <c r="CX29" s="1315"/>
      <c r="CY29" s="1315"/>
      <c r="CZ29" s="1315"/>
      <c r="DA29" s="1315"/>
      <c r="DB29" s="1315"/>
      <c r="DC29" s="1315"/>
      <c r="DD29" s="1315"/>
      <c r="DE29" s="1315"/>
      <c r="DF29" s="1315"/>
      <c r="DG29" s="1315"/>
      <c r="DH29" s="1315"/>
      <c r="DI29" s="1315"/>
      <c r="DJ29" s="1315"/>
      <c r="DK29" s="1315"/>
      <c r="DL29" s="1315"/>
      <c r="DM29" s="1315"/>
      <c r="DN29" s="1315"/>
      <c r="DO29" s="1315"/>
      <c r="DP29" s="1315"/>
      <c r="DQ29" s="1315"/>
      <c r="DR29" s="1315"/>
      <c r="DS29" s="1315"/>
      <c r="DT29" s="1315"/>
      <c r="DU29" s="1315"/>
      <c r="DV29" s="1315"/>
      <c r="DW29" s="1315"/>
      <c r="DX29" s="1315"/>
      <c r="DY29" s="1315"/>
      <c r="DZ29" s="1315"/>
      <c r="EA29" s="1315"/>
      <c r="EB29" s="1315"/>
      <c r="EC29" s="1315"/>
      <c r="ED29" s="1315"/>
      <c r="EE29" s="1315"/>
      <c r="EF29" s="1315"/>
      <c r="EG29" s="1315"/>
      <c r="EH29" s="1315"/>
      <c r="EI29" s="1315"/>
      <c r="EJ29" s="1315"/>
      <c r="EK29" s="1315"/>
      <c r="EL29" s="1315"/>
      <c r="EM29" s="1315"/>
      <c r="EN29" s="1315"/>
      <c r="EO29" s="1315"/>
      <c r="EP29" s="1315"/>
      <c r="EQ29" s="1315"/>
      <c r="ER29" s="1315"/>
      <c r="ES29" s="1315"/>
      <c r="ET29" s="1315"/>
      <c r="EU29" s="1315"/>
      <c r="EV29" s="1315"/>
      <c r="EW29" s="1315"/>
      <c r="EX29" s="1315"/>
      <c r="EY29" s="1315"/>
      <c r="EZ29" s="1315"/>
      <c r="FA29" s="1315"/>
      <c r="FB29" s="1315"/>
      <c r="FC29" s="1315"/>
      <c r="FD29" s="1315"/>
      <c r="FE29" s="1315"/>
      <c r="FF29" s="1315"/>
      <c r="FG29" s="1315"/>
      <c r="FH29" s="1315"/>
      <c r="FI29" s="1315"/>
      <c r="FJ29" s="1315"/>
      <c r="FK29" s="1315"/>
      <c r="FL29" s="1315"/>
      <c r="FM29" s="1315"/>
      <c r="FN29" s="1315"/>
      <c r="FO29" s="1315"/>
      <c r="FP29" s="1315"/>
      <c r="FQ29" s="1315"/>
      <c r="FR29" s="1315"/>
      <c r="FS29" s="1315"/>
      <c r="FT29" s="1315"/>
      <c r="FU29" s="1315"/>
      <c r="FV29" s="1315"/>
      <c r="FW29" s="1315"/>
      <c r="FX29" s="1315"/>
      <c r="FY29" s="1315"/>
      <c r="FZ29" s="1315"/>
      <c r="GA29" s="1315"/>
      <c r="GB29" s="1315"/>
      <c r="GC29" s="1315"/>
      <c r="GD29" s="1315"/>
      <c r="GE29" s="1315"/>
      <c r="GF29" s="1315"/>
      <c r="GG29" s="1315"/>
      <c r="GH29" s="1315"/>
      <c r="GI29" s="1315"/>
      <c r="GJ29" s="1315"/>
      <c r="GK29" s="1315"/>
      <c r="GL29" s="1315"/>
      <c r="GM29" s="1315"/>
      <c r="GN29" s="1315"/>
      <c r="GO29" s="1315"/>
      <c r="GP29" s="1315"/>
      <c r="GQ29" s="1315"/>
      <c r="GR29" s="1315"/>
      <c r="GS29" s="1315"/>
      <c r="GT29" s="1315"/>
      <c r="GU29" s="1315"/>
      <c r="GV29" s="1315"/>
      <c r="GW29" s="1315"/>
      <c r="GX29" s="1315"/>
      <c r="GY29" s="1315"/>
      <c r="GZ29" s="1315"/>
      <c r="HA29" s="1315"/>
      <c r="HB29" s="1315"/>
      <c r="HC29" s="1315"/>
      <c r="HD29" s="1315"/>
      <c r="HE29" s="1315"/>
      <c r="HF29" s="1315"/>
      <c r="HG29" s="1315"/>
      <c r="HH29" s="1315"/>
      <c r="HI29" s="1315"/>
      <c r="HJ29" s="1315"/>
      <c r="HK29" s="1315"/>
      <c r="HL29" s="1315"/>
      <c r="HM29" s="1315"/>
      <c r="HN29" s="1315"/>
      <c r="HO29" s="1315"/>
      <c r="HP29" s="1315"/>
      <c r="HQ29" s="1315"/>
      <c r="HR29" s="1315"/>
      <c r="HS29" s="1315"/>
      <c r="HT29" s="1315"/>
      <c r="HU29" s="1315"/>
      <c r="HV29" s="1315"/>
      <c r="HW29" s="1315"/>
      <c r="HX29" s="1315"/>
      <c r="HY29" s="1315"/>
      <c r="HZ29" s="1315"/>
      <c r="IA29" s="1315"/>
      <c r="IB29" s="1315"/>
      <c r="IC29" s="1315"/>
      <c r="ID29" s="1315"/>
      <c r="IE29" s="1315"/>
      <c r="IF29" s="1315"/>
      <c r="IG29" s="1315"/>
      <c r="IH29" s="1315"/>
      <c r="II29" s="1315"/>
      <c r="IJ29" s="1315"/>
    </row>
    <row r="30" spans="1:244" s="53" customFormat="1" ht="12" x14ac:dyDescent="0.2">
      <c r="A30" s="444">
        <f t="shared" si="65"/>
        <v>19</v>
      </c>
      <c r="B30" s="1312">
        <v>4547</v>
      </c>
      <c r="C30" s="1313">
        <f t="shared" si="66"/>
        <v>24500</v>
      </c>
      <c r="D30" s="1313">
        <f t="shared" si="9"/>
        <v>25480</v>
      </c>
      <c r="E30" s="1313">
        <f t="shared" ref="E30:Y30" si="74">ROUNDUP(D30*(E$10+1),0)</f>
        <v>26576</v>
      </c>
      <c r="F30" s="1313">
        <f t="shared" si="74"/>
        <v>27374</v>
      </c>
      <c r="G30" s="1313">
        <f t="shared" si="74"/>
        <v>28387</v>
      </c>
      <c r="H30" s="1313">
        <f t="shared" si="74"/>
        <v>29523</v>
      </c>
      <c r="I30" s="1313">
        <f t="shared" si="74"/>
        <v>30704</v>
      </c>
      <c r="J30" s="1314">
        <f t="shared" si="74"/>
        <v>31933</v>
      </c>
      <c r="K30" s="1314" t="e">
        <f t="shared" si="74"/>
        <v>#N/A</v>
      </c>
      <c r="L30" s="1314" t="e">
        <f t="shared" si="74"/>
        <v>#N/A</v>
      </c>
      <c r="M30" s="1314" t="e">
        <f t="shared" si="74"/>
        <v>#N/A</v>
      </c>
      <c r="N30" s="1314" t="e">
        <f t="shared" si="74"/>
        <v>#N/A</v>
      </c>
      <c r="O30" s="1314" t="e">
        <f t="shared" si="74"/>
        <v>#N/A</v>
      </c>
      <c r="P30" s="1314" t="e">
        <f t="shared" si="74"/>
        <v>#N/A</v>
      </c>
      <c r="Q30" s="1314" t="e">
        <f t="shared" si="74"/>
        <v>#N/A</v>
      </c>
      <c r="R30" s="1314" t="e">
        <f t="shared" si="74"/>
        <v>#N/A</v>
      </c>
      <c r="S30" s="1314" t="e">
        <f t="shared" si="74"/>
        <v>#N/A</v>
      </c>
      <c r="T30" s="1314" t="e">
        <f t="shared" si="74"/>
        <v>#N/A</v>
      </c>
      <c r="U30" s="1314" t="e">
        <f t="shared" si="74"/>
        <v>#N/A</v>
      </c>
      <c r="V30" s="1314" t="e">
        <f t="shared" si="74"/>
        <v>#N/A</v>
      </c>
      <c r="W30" s="1314" t="e">
        <f t="shared" si="74"/>
        <v>#N/A</v>
      </c>
      <c r="X30" s="1314" t="e">
        <f t="shared" si="74"/>
        <v>#N/A</v>
      </c>
      <c r="Y30" s="1314" t="e">
        <f t="shared" si="74"/>
        <v>#N/A</v>
      </c>
      <c r="Z30" s="1314" t="e">
        <f t="shared" si="11"/>
        <v>#N/A</v>
      </c>
      <c r="AA30" s="1314" t="e">
        <f t="shared" si="12"/>
        <v>#N/A</v>
      </c>
      <c r="AB30" s="1314" t="e">
        <f t="shared" si="13"/>
        <v>#N/A</v>
      </c>
      <c r="AC30" s="1314" t="e">
        <f t="shared" si="14"/>
        <v>#N/A</v>
      </c>
      <c r="AD30" s="1314" t="e">
        <f t="shared" si="15"/>
        <v>#N/A</v>
      </c>
      <c r="AE30" s="1314" t="e">
        <f t="shared" si="16"/>
        <v>#N/A</v>
      </c>
      <c r="AF30" s="1314" t="e">
        <f t="shared" si="17"/>
        <v>#N/A</v>
      </c>
      <c r="AG30" s="1314" t="e">
        <f t="shared" si="18"/>
        <v>#N/A</v>
      </c>
      <c r="AH30" s="1314" t="e">
        <f t="shared" si="19"/>
        <v>#N/A</v>
      </c>
      <c r="AI30" s="1314" t="e">
        <f t="shared" si="20"/>
        <v>#N/A</v>
      </c>
      <c r="AJ30" s="1314" t="e">
        <f t="shared" si="21"/>
        <v>#N/A</v>
      </c>
      <c r="AK30" s="1314" t="e">
        <f t="shared" si="22"/>
        <v>#N/A</v>
      </c>
      <c r="AL30" s="1314" t="e">
        <f t="shared" si="23"/>
        <v>#N/A</v>
      </c>
      <c r="AM30" s="1314" t="e">
        <f t="shared" si="24"/>
        <v>#N/A</v>
      </c>
      <c r="AN30" s="1314" t="e">
        <f t="shared" si="25"/>
        <v>#N/A</v>
      </c>
      <c r="AO30" s="1314" t="e">
        <f t="shared" si="26"/>
        <v>#N/A</v>
      </c>
      <c r="AP30" s="1314" t="e">
        <f t="shared" si="27"/>
        <v>#N/A</v>
      </c>
      <c r="AQ30" s="1314" t="e">
        <f t="shared" si="28"/>
        <v>#N/A</v>
      </c>
      <c r="AR30" s="1314" t="e">
        <f t="shared" si="29"/>
        <v>#N/A</v>
      </c>
      <c r="AS30" s="1314" t="e">
        <f t="shared" si="30"/>
        <v>#N/A</v>
      </c>
      <c r="AT30" s="1314" t="e">
        <f t="shared" si="31"/>
        <v>#N/A</v>
      </c>
      <c r="AU30" s="1314" t="e">
        <f t="shared" si="32"/>
        <v>#N/A</v>
      </c>
      <c r="AV30" s="1314" t="e">
        <f t="shared" si="33"/>
        <v>#N/A</v>
      </c>
      <c r="AW30" s="1314" t="e">
        <f t="shared" si="34"/>
        <v>#N/A</v>
      </c>
      <c r="AX30" s="1314" t="e">
        <f t="shared" si="35"/>
        <v>#N/A</v>
      </c>
      <c r="AY30" s="1314" t="e">
        <f t="shared" si="36"/>
        <v>#N/A</v>
      </c>
      <c r="AZ30" s="1314" t="e">
        <f t="shared" si="37"/>
        <v>#N/A</v>
      </c>
      <c r="BA30" s="1314" t="e">
        <f t="shared" si="38"/>
        <v>#N/A</v>
      </c>
      <c r="BB30" s="1314" t="e">
        <f t="shared" si="39"/>
        <v>#N/A</v>
      </c>
      <c r="BC30" s="1314" t="e">
        <f t="shared" si="40"/>
        <v>#N/A</v>
      </c>
      <c r="BD30" s="1314" t="e">
        <f t="shared" si="41"/>
        <v>#N/A</v>
      </c>
      <c r="BE30" s="1314" t="e">
        <f t="shared" si="42"/>
        <v>#N/A</v>
      </c>
      <c r="BF30" s="1314" t="e">
        <f t="shared" si="43"/>
        <v>#N/A</v>
      </c>
      <c r="BG30" s="1314" t="e">
        <f t="shared" si="44"/>
        <v>#N/A</v>
      </c>
      <c r="BH30" s="1314" t="e">
        <f t="shared" si="45"/>
        <v>#N/A</v>
      </c>
      <c r="BI30" s="1314" t="e">
        <f t="shared" si="46"/>
        <v>#N/A</v>
      </c>
      <c r="BJ30" s="1314" t="e">
        <f t="shared" si="47"/>
        <v>#N/A</v>
      </c>
      <c r="BK30" s="1314" t="e">
        <f t="shared" si="48"/>
        <v>#N/A</v>
      </c>
      <c r="BL30" s="1314" t="e">
        <f t="shared" si="49"/>
        <v>#N/A</v>
      </c>
      <c r="BM30" s="1314" t="e">
        <f t="shared" si="50"/>
        <v>#N/A</v>
      </c>
      <c r="BN30" s="1314" t="e">
        <f t="shared" si="51"/>
        <v>#N/A</v>
      </c>
      <c r="BO30" s="1314" t="e">
        <f t="shared" si="52"/>
        <v>#N/A</v>
      </c>
      <c r="BP30" s="1314" t="e">
        <f t="shared" si="53"/>
        <v>#N/A</v>
      </c>
      <c r="BQ30" s="1314" t="e">
        <f t="shared" si="54"/>
        <v>#N/A</v>
      </c>
      <c r="BR30" s="1314" t="e">
        <f t="shared" si="55"/>
        <v>#N/A</v>
      </c>
      <c r="BS30" s="1314" t="e">
        <f t="shared" si="56"/>
        <v>#N/A</v>
      </c>
      <c r="BT30" s="1314" t="e">
        <f t="shared" si="57"/>
        <v>#N/A</v>
      </c>
      <c r="BU30" s="1314" t="e">
        <f t="shared" si="58"/>
        <v>#N/A</v>
      </c>
      <c r="BV30" s="1314" t="e">
        <f t="shared" si="59"/>
        <v>#N/A</v>
      </c>
      <c r="BW30" s="1314" t="e">
        <f t="shared" si="60"/>
        <v>#N/A</v>
      </c>
      <c r="BX30" s="1314" t="e">
        <f t="shared" si="61"/>
        <v>#N/A</v>
      </c>
      <c r="BY30" s="1314" t="e">
        <f t="shared" si="62"/>
        <v>#N/A</v>
      </c>
      <c r="BZ30" s="1315"/>
      <c r="CA30" s="1315"/>
      <c r="CB30" s="1315"/>
      <c r="CC30" s="1315"/>
      <c r="CD30" s="1315"/>
      <c r="CE30" s="1315"/>
      <c r="CF30" s="1315"/>
      <c r="CG30" s="1315"/>
      <c r="CH30" s="1315"/>
      <c r="CI30" s="1315"/>
      <c r="CJ30" s="1315"/>
      <c r="CK30" s="1315"/>
      <c r="CL30" s="1315"/>
      <c r="CM30" s="1315"/>
      <c r="CN30" s="1315"/>
      <c r="CO30" s="1315"/>
      <c r="CP30" s="1315"/>
      <c r="CQ30" s="1315"/>
      <c r="CR30" s="1315"/>
      <c r="CS30" s="1315"/>
      <c r="CT30" s="1315"/>
      <c r="CU30" s="1315"/>
      <c r="CV30" s="1315"/>
      <c r="CW30" s="1315"/>
      <c r="CX30" s="1315"/>
      <c r="CY30" s="1315"/>
      <c r="CZ30" s="1315"/>
      <c r="DA30" s="1315"/>
      <c r="DB30" s="1315"/>
      <c r="DC30" s="1315"/>
      <c r="DD30" s="1315"/>
      <c r="DE30" s="1315"/>
      <c r="DF30" s="1315"/>
      <c r="DG30" s="1315"/>
      <c r="DH30" s="1315"/>
      <c r="DI30" s="1315"/>
      <c r="DJ30" s="1315"/>
      <c r="DK30" s="1315"/>
      <c r="DL30" s="1315"/>
      <c r="DM30" s="1315"/>
      <c r="DN30" s="1315"/>
      <c r="DO30" s="1315"/>
      <c r="DP30" s="1315"/>
      <c r="DQ30" s="1315"/>
      <c r="DR30" s="1315"/>
      <c r="DS30" s="1315"/>
      <c r="DT30" s="1315"/>
      <c r="DU30" s="1315"/>
      <c r="DV30" s="1315"/>
      <c r="DW30" s="1315"/>
      <c r="DX30" s="1315"/>
      <c r="DY30" s="1315"/>
      <c r="DZ30" s="1315"/>
      <c r="EA30" s="1315"/>
      <c r="EB30" s="1315"/>
      <c r="EC30" s="1315"/>
      <c r="ED30" s="1315"/>
      <c r="EE30" s="1315"/>
      <c r="EF30" s="1315"/>
      <c r="EG30" s="1315"/>
      <c r="EH30" s="1315"/>
      <c r="EI30" s="1315"/>
      <c r="EJ30" s="1315"/>
      <c r="EK30" s="1315"/>
      <c r="EL30" s="1315"/>
      <c r="EM30" s="1315"/>
      <c r="EN30" s="1315"/>
      <c r="EO30" s="1315"/>
      <c r="EP30" s="1315"/>
      <c r="EQ30" s="1315"/>
      <c r="ER30" s="1315"/>
      <c r="ES30" s="1315"/>
      <c r="ET30" s="1315"/>
      <c r="EU30" s="1315"/>
      <c r="EV30" s="1315"/>
      <c r="EW30" s="1315"/>
      <c r="EX30" s="1315"/>
      <c r="EY30" s="1315"/>
      <c r="EZ30" s="1315"/>
      <c r="FA30" s="1315"/>
      <c r="FB30" s="1315"/>
      <c r="FC30" s="1315"/>
      <c r="FD30" s="1315"/>
      <c r="FE30" s="1315"/>
      <c r="FF30" s="1315"/>
      <c r="FG30" s="1315"/>
      <c r="FH30" s="1315"/>
      <c r="FI30" s="1315"/>
      <c r="FJ30" s="1315"/>
      <c r="FK30" s="1315"/>
      <c r="FL30" s="1315"/>
      <c r="FM30" s="1315"/>
      <c r="FN30" s="1315"/>
      <c r="FO30" s="1315"/>
      <c r="FP30" s="1315"/>
      <c r="FQ30" s="1315"/>
      <c r="FR30" s="1315"/>
      <c r="FS30" s="1315"/>
      <c r="FT30" s="1315"/>
      <c r="FU30" s="1315"/>
      <c r="FV30" s="1315"/>
      <c r="FW30" s="1315"/>
      <c r="FX30" s="1315"/>
      <c r="FY30" s="1315"/>
      <c r="FZ30" s="1315"/>
      <c r="GA30" s="1315"/>
      <c r="GB30" s="1315"/>
      <c r="GC30" s="1315"/>
      <c r="GD30" s="1315"/>
      <c r="GE30" s="1315"/>
      <c r="GF30" s="1315"/>
      <c r="GG30" s="1315"/>
      <c r="GH30" s="1315"/>
      <c r="GI30" s="1315"/>
      <c r="GJ30" s="1315"/>
      <c r="GK30" s="1315"/>
      <c r="GL30" s="1315"/>
      <c r="GM30" s="1315"/>
      <c r="GN30" s="1315"/>
      <c r="GO30" s="1315"/>
      <c r="GP30" s="1315"/>
      <c r="GQ30" s="1315"/>
      <c r="GR30" s="1315"/>
      <c r="GS30" s="1315"/>
      <c r="GT30" s="1315"/>
      <c r="GU30" s="1315"/>
      <c r="GV30" s="1315"/>
      <c r="GW30" s="1315"/>
      <c r="GX30" s="1315"/>
      <c r="GY30" s="1315"/>
      <c r="GZ30" s="1315"/>
      <c r="HA30" s="1315"/>
      <c r="HB30" s="1315"/>
      <c r="HC30" s="1315"/>
      <c r="HD30" s="1315"/>
      <c r="HE30" s="1315"/>
      <c r="HF30" s="1315"/>
      <c r="HG30" s="1315"/>
      <c r="HH30" s="1315"/>
      <c r="HI30" s="1315"/>
      <c r="HJ30" s="1315"/>
      <c r="HK30" s="1315"/>
      <c r="HL30" s="1315"/>
      <c r="HM30" s="1315"/>
      <c r="HN30" s="1315"/>
      <c r="HO30" s="1315"/>
      <c r="HP30" s="1315"/>
      <c r="HQ30" s="1315"/>
      <c r="HR30" s="1315"/>
      <c r="HS30" s="1315"/>
      <c r="HT30" s="1315"/>
      <c r="HU30" s="1315"/>
      <c r="HV30" s="1315"/>
      <c r="HW30" s="1315"/>
      <c r="HX30" s="1315"/>
      <c r="HY30" s="1315"/>
      <c r="HZ30" s="1315"/>
      <c r="IA30" s="1315"/>
      <c r="IB30" s="1315"/>
      <c r="IC30" s="1315"/>
      <c r="ID30" s="1315"/>
      <c r="IE30" s="1315"/>
      <c r="IF30" s="1315"/>
      <c r="IG30" s="1315"/>
      <c r="IH30" s="1315"/>
      <c r="II30" s="1315"/>
      <c r="IJ30" s="1315"/>
    </row>
    <row r="31" spans="1:244" s="53" customFormat="1" ht="12" x14ac:dyDescent="0.2">
      <c r="A31" s="444">
        <f t="shared" si="65"/>
        <v>20</v>
      </c>
      <c r="B31" s="1312">
        <v>4659</v>
      </c>
      <c r="C31" s="1313">
        <f t="shared" si="66"/>
        <v>25000</v>
      </c>
      <c r="D31" s="1313">
        <f t="shared" si="9"/>
        <v>26000</v>
      </c>
      <c r="E31" s="1313">
        <f t="shared" ref="E31:Y31" si="75">ROUNDUP(D31*(E$10+1),0)</f>
        <v>27118</v>
      </c>
      <c r="F31" s="1313">
        <f t="shared" si="75"/>
        <v>27932</v>
      </c>
      <c r="G31" s="1313">
        <f t="shared" si="75"/>
        <v>28966</v>
      </c>
      <c r="H31" s="1313">
        <f t="shared" si="75"/>
        <v>30125</v>
      </c>
      <c r="I31" s="1313">
        <f t="shared" si="75"/>
        <v>31330</v>
      </c>
      <c r="J31" s="1314">
        <f t="shared" si="75"/>
        <v>32584</v>
      </c>
      <c r="K31" s="1314" t="e">
        <f t="shared" si="75"/>
        <v>#N/A</v>
      </c>
      <c r="L31" s="1314" t="e">
        <f t="shared" si="75"/>
        <v>#N/A</v>
      </c>
      <c r="M31" s="1314" t="e">
        <f t="shared" si="75"/>
        <v>#N/A</v>
      </c>
      <c r="N31" s="1314" t="e">
        <f t="shared" si="75"/>
        <v>#N/A</v>
      </c>
      <c r="O31" s="1314" t="e">
        <f t="shared" si="75"/>
        <v>#N/A</v>
      </c>
      <c r="P31" s="1314" t="e">
        <f t="shared" si="75"/>
        <v>#N/A</v>
      </c>
      <c r="Q31" s="1314" t="e">
        <f t="shared" si="75"/>
        <v>#N/A</v>
      </c>
      <c r="R31" s="1314" t="e">
        <f t="shared" si="75"/>
        <v>#N/A</v>
      </c>
      <c r="S31" s="1314" t="e">
        <f t="shared" si="75"/>
        <v>#N/A</v>
      </c>
      <c r="T31" s="1314" t="e">
        <f t="shared" si="75"/>
        <v>#N/A</v>
      </c>
      <c r="U31" s="1314" t="e">
        <f t="shared" si="75"/>
        <v>#N/A</v>
      </c>
      <c r="V31" s="1314" t="e">
        <f t="shared" si="75"/>
        <v>#N/A</v>
      </c>
      <c r="W31" s="1314" t="e">
        <f t="shared" si="75"/>
        <v>#N/A</v>
      </c>
      <c r="X31" s="1314" t="e">
        <f t="shared" si="75"/>
        <v>#N/A</v>
      </c>
      <c r="Y31" s="1314" t="e">
        <f t="shared" si="75"/>
        <v>#N/A</v>
      </c>
      <c r="Z31" s="1314" t="e">
        <f t="shared" si="11"/>
        <v>#N/A</v>
      </c>
      <c r="AA31" s="1314" t="e">
        <f t="shared" si="12"/>
        <v>#N/A</v>
      </c>
      <c r="AB31" s="1314" t="e">
        <f t="shared" si="13"/>
        <v>#N/A</v>
      </c>
      <c r="AC31" s="1314" t="e">
        <f t="shared" si="14"/>
        <v>#N/A</v>
      </c>
      <c r="AD31" s="1314" t="e">
        <f t="shared" si="15"/>
        <v>#N/A</v>
      </c>
      <c r="AE31" s="1314" t="e">
        <f t="shared" si="16"/>
        <v>#N/A</v>
      </c>
      <c r="AF31" s="1314" t="e">
        <f t="shared" si="17"/>
        <v>#N/A</v>
      </c>
      <c r="AG31" s="1314" t="e">
        <f t="shared" si="18"/>
        <v>#N/A</v>
      </c>
      <c r="AH31" s="1314" t="e">
        <f t="shared" si="19"/>
        <v>#N/A</v>
      </c>
      <c r="AI31" s="1314" t="e">
        <f t="shared" si="20"/>
        <v>#N/A</v>
      </c>
      <c r="AJ31" s="1314" t="e">
        <f t="shared" si="21"/>
        <v>#N/A</v>
      </c>
      <c r="AK31" s="1314" t="e">
        <f t="shared" si="22"/>
        <v>#N/A</v>
      </c>
      <c r="AL31" s="1314" t="e">
        <f t="shared" si="23"/>
        <v>#N/A</v>
      </c>
      <c r="AM31" s="1314" t="e">
        <f t="shared" si="24"/>
        <v>#N/A</v>
      </c>
      <c r="AN31" s="1314" t="e">
        <f t="shared" si="25"/>
        <v>#N/A</v>
      </c>
      <c r="AO31" s="1314" t="e">
        <f t="shared" si="26"/>
        <v>#N/A</v>
      </c>
      <c r="AP31" s="1314" t="e">
        <f t="shared" si="27"/>
        <v>#N/A</v>
      </c>
      <c r="AQ31" s="1314" t="e">
        <f t="shared" si="28"/>
        <v>#N/A</v>
      </c>
      <c r="AR31" s="1314" t="e">
        <f t="shared" si="29"/>
        <v>#N/A</v>
      </c>
      <c r="AS31" s="1314" t="e">
        <f t="shared" si="30"/>
        <v>#N/A</v>
      </c>
      <c r="AT31" s="1314" t="e">
        <f t="shared" si="31"/>
        <v>#N/A</v>
      </c>
      <c r="AU31" s="1314" t="e">
        <f t="shared" si="32"/>
        <v>#N/A</v>
      </c>
      <c r="AV31" s="1314" t="e">
        <f t="shared" si="33"/>
        <v>#N/A</v>
      </c>
      <c r="AW31" s="1314" t="e">
        <f t="shared" si="34"/>
        <v>#N/A</v>
      </c>
      <c r="AX31" s="1314" t="e">
        <f t="shared" si="35"/>
        <v>#N/A</v>
      </c>
      <c r="AY31" s="1314" t="e">
        <f t="shared" si="36"/>
        <v>#N/A</v>
      </c>
      <c r="AZ31" s="1314" t="e">
        <f t="shared" si="37"/>
        <v>#N/A</v>
      </c>
      <c r="BA31" s="1314" t="e">
        <f t="shared" si="38"/>
        <v>#N/A</v>
      </c>
      <c r="BB31" s="1314" t="e">
        <f t="shared" si="39"/>
        <v>#N/A</v>
      </c>
      <c r="BC31" s="1314" t="e">
        <f t="shared" si="40"/>
        <v>#N/A</v>
      </c>
      <c r="BD31" s="1314" t="e">
        <f t="shared" si="41"/>
        <v>#N/A</v>
      </c>
      <c r="BE31" s="1314" t="e">
        <f t="shared" si="42"/>
        <v>#N/A</v>
      </c>
      <c r="BF31" s="1314" t="e">
        <f t="shared" si="43"/>
        <v>#N/A</v>
      </c>
      <c r="BG31" s="1314" t="e">
        <f t="shared" si="44"/>
        <v>#N/A</v>
      </c>
      <c r="BH31" s="1314" t="e">
        <f t="shared" si="45"/>
        <v>#N/A</v>
      </c>
      <c r="BI31" s="1314" t="e">
        <f t="shared" si="46"/>
        <v>#N/A</v>
      </c>
      <c r="BJ31" s="1314" t="e">
        <f t="shared" si="47"/>
        <v>#N/A</v>
      </c>
      <c r="BK31" s="1314" t="e">
        <f t="shared" si="48"/>
        <v>#N/A</v>
      </c>
      <c r="BL31" s="1314" t="e">
        <f t="shared" si="49"/>
        <v>#N/A</v>
      </c>
      <c r="BM31" s="1314" t="e">
        <f t="shared" si="50"/>
        <v>#N/A</v>
      </c>
      <c r="BN31" s="1314" t="e">
        <f t="shared" si="51"/>
        <v>#N/A</v>
      </c>
      <c r="BO31" s="1314" t="e">
        <f t="shared" si="52"/>
        <v>#N/A</v>
      </c>
      <c r="BP31" s="1314" t="e">
        <f t="shared" si="53"/>
        <v>#N/A</v>
      </c>
      <c r="BQ31" s="1314" t="e">
        <f t="shared" si="54"/>
        <v>#N/A</v>
      </c>
      <c r="BR31" s="1314" t="e">
        <f t="shared" si="55"/>
        <v>#N/A</v>
      </c>
      <c r="BS31" s="1314" t="e">
        <f t="shared" si="56"/>
        <v>#N/A</v>
      </c>
      <c r="BT31" s="1314" t="e">
        <f t="shared" si="57"/>
        <v>#N/A</v>
      </c>
      <c r="BU31" s="1314" t="e">
        <f t="shared" si="58"/>
        <v>#N/A</v>
      </c>
      <c r="BV31" s="1314" t="e">
        <f t="shared" si="59"/>
        <v>#N/A</v>
      </c>
      <c r="BW31" s="1314" t="e">
        <f t="shared" si="60"/>
        <v>#N/A</v>
      </c>
      <c r="BX31" s="1314" t="e">
        <f t="shared" si="61"/>
        <v>#N/A</v>
      </c>
      <c r="BY31" s="1314" t="e">
        <f t="shared" si="62"/>
        <v>#N/A</v>
      </c>
      <c r="BZ31" s="1315"/>
      <c r="CA31" s="1315"/>
      <c r="CB31" s="1315"/>
      <c r="CC31" s="1315"/>
      <c r="CD31" s="1315"/>
      <c r="CE31" s="1315"/>
      <c r="CF31" s="1315"/>
      <c r="CG31" s="1315"/>
      <c r="CH31" s="1315"/>
      <c r="CI31" s="1315"/>
      <c r="CJ31" s="1315"/>
      <c r="CK31" s="1315"/>
      <c r="CL31" s="1315"/>
      <c r="CM31" s="1315"/>
      <c r="CN31" s="1315"/>
      <c r="CO31" s="1315"/>
      <c r="CP31" s="1315"/>
      <c r="CQ31" s="1315"/>
      <c r="CR31" s="1315"/>
      <c r="CS31" s="1315"/>
      <c r="CT31" s="1315"/>
      <c r="CU31" s="1315"/>
      <c r="CV31" s="1315"/>
      <c r="CW31" s="1315"/>
      <c r="CX31" s="1315"/>
      <c r="CY31" s="1315"/>
      <c r="CZ31" s="1315"/>
      <c r="DA31" s="1315"/>
      <c r="DB31" s="1315"/>
      <c r="DC31" s="1315"/>
      <c r="DD31" s="1315"/>
      <c r="DE31" s="1315"/>
      <c r="DF31" s="1315"/>
      <c r="DG31" s="1315"/>
      <c r="DH31" s="1315"/>
      <c r="DI31" s="1315"/>
      <c r="DJ31" s="1315"/>
      <c r="DK31" s="1315"/>
      <c r="DL31" s="1315"/>
      <c r="DM31" s="1315"/>
      <c r="DN31" s="1315"/>
      <c r="DO31" s="1315"/>
      <c r="DP31" s="1315"/>
      <c r="DQ31" s="1315"/>
      <c r="DR31" s="1315"/>
      <c r="DS31" s="1315"/>
      <c r="DT31" s="1315"/>
      <c r="DU31" s="1315"/>
      <c r="DV31" s="1315"/>
      <c r="DW31" s="1315"/>
      <c r="DX31" s="1315"/>
      <c r="DY31" s="1315"/>
      <c r="DZ31" s="1315"/>
      <c r="EA31" s="1315"/>
      <c r="EB31" s="1315"/>
      <c r="EC31" s="1315"/>
      <c r="ED31" s="1315"/>
      <c r="EE31" s="1315"/>
      <c r="EF31" s="1315"/>
      <c r="EG31" s="1315"/>
      <c r="EH31" s="1315"/>
      <c r="EI31" s="1315"/>
      <c r="EJ31" s="1315"/>
      <c r="EK31" s="1315"/>
      <c r="EL31" s="1315"/>
      <c r="EM31" s="1315"/>
      <c r="EN31" s="1315"/>
      <c r="EO31" s="1315"/>
      <c r="EP31" s="1315"/>
      <c r="EQ31" s="1315"/>
      <c r="ER31" s="1315"/>
      <c r="ES31" s="1315"/>
      <c r="ET31" s="1315"/>
      <c r="EU31" s="1315"/>
      <c r="EV31" s="1315"/>
      <c r="EW31" s="1315"/>
      <c r="EX31" s="1315"/>
      <c r="EY31" s="1315"/>
      <c r="EZ31" s="1315"/>
      <c r="FA31" s="1315"/>
      <c r="FB31" s="1315"/>
      <c r="FC31" s="1315"/>
      <c r="FD31" s="1315"/>
      <c r="FE31" s="1315"/>
      <c r="FF31" s="1315"/>
      <c r="FG31" s="1315"/>
      <c r="FH31" s="1315"/>
      <c r="FI31" s="1315"/>
      <c r="FJ31" s="1315"/>
      <c r="FK31" s="1315"/>
      <c r="FL31" s="1315"/>
      <c r="FM31" s="1315"/>
      <c r="FN31" s="1315"/>
      <c r="FO31" s="1315"/>
      <c r="FP31" s="1315"/>
      <c r="FQ31" s="1315"/>
      <c r="FR31" s="1315"/>
      <c r="FS31" s="1315"/>
      <c r="FT31" s="1315"/>
      <c r="FU31" s="1315"/>
      <c r="FV31" s="1315"/>
      <c r="FW31" s="1315"/>
      <c r="FX31" s="1315"/>
      <c r="FY31" s="1315"/>
      <c r="FZ31" s="1315"/>
      <c r="GA31" s="1315"/>
      <c r="GB31" s="1315"/>
      <c r="GC31" s="1315"/>
      <c r="GD31" s="1315"/>
      <c r="GE31" s="1315"/>
      <c r="GF31" s="1315"/>
      <c r="GG31" s="1315"/>
      <c r="GH31" s="1315"/>
      <c r="GI31" s="1315"/>
      <c r="GJ31" s="1315"/>
      <c r="GK31" s="1315"/>
      <c r="GL31" s="1315"/>
      <c r="GM31" s="1315"/>
      <c r="GN31" s="1315"/>
      <c r="GO31" s="1315"/>
      <c r="GP31" s="1315"/>
      <c r="GQ31" s="1315"/>
      <c r="GR31" s="1315"/>
      <c r="GS31" s="1315"/>
      <c r="GT31" s="1315"/>
      <c r="GU31" s="1315"/>
      <c r="GV31" s="1315"/>
      <c r="GW31" s="1315"/>
      <c r="GX31" s="1315"/>
      <c r="GY31" s="1315"/>
      <c r="GZ31" s="1315"/>
      <c r="HA31" s="1315"/>
      <c r="HB31" s="1315"/>
      <c r="HC31" s="1315"/>
      <c r="HD31" s="1315"/>
      <c r="HE31" s="1315"/>
      <c r="HF31" s="1315"/>
      <c r="HG31" s="1315"/>
      <c r="HH31" s="1315"/>
      <c r="HI31" s="1315"/>
      <c r="HJ31" s="1315"/>
      <c r="HK31" s="1315"/>
      <c r="HL31" s="1315"/>
      <c r="HM31" s="1315"/>
      <c r="HN31" s="1315"/>
      <c r="HO31" s="1315"/>
      <c r="HP31" s="1315"/>
      <c r="HQ31" s="1315"/>
      <c r="HR31" s="1315"/>
      <c r="HS31" s="1315"/>
      <c r="HT31" s="1315"/>
      <c r="HU31" s="1315"/>
      <c r="HV31" s="1315"/>
      <c r="HW31" s="1315"/>
      <c r="HX31" s="1315"/>
      <c r="HY31" s="1315"/>
      <c r="HZ31" s="1315"/>
      <c r="IA31" s="1315"/>
      <c r="IB31" s="1315"/>
      <c r="IC31" s="1315"/>
      <c r="ID31" s="1315"/>
      <c r="IE31" s="1315"/>
      <c r="IF31" s="1315"/>
      <c r="IG31" s="1315"/>
      <c r="IH31" s="1315"/>
      <c r="II31" s="1315"/>
      <c r="IJ31" s="1315"/>
    </row>
    <row r="32" spans="1:244" s="53" customFormat="1" ht="12" x14ac:dyDescent="0.2">
      <c r="A32" s="444">
        <f t="shared" si="65"/>
        <v>21</v>
      </c>
      <c r="B32" s="1312">
        <v>4769</v>
      </c>
      <c r="C32" s="1313">
        <f t="shared" si="66"/>
        <v>25500</v>
      </c>
      <c r="D32" s="1313">
        <f t="shared" si="9"/>
        <v>26520</v>
      </c>
      <c r="E32" s="1313">
        <f t="shared" ref="E32:Y32" si="76">ROUNDUP(D32*(E$10+1),0)</f>
        <v>27661</v>
      </c>
      <c r="F32" s="1313">
        <f t="shared" si="76"/>
        <v>28491</v>
      </c>
      <c r="G32" s="1313">
        <f t="shared" si="76"/>
        <v>29546</v>
      </c>
      <c r="H32" s="1313">
        <f t="shared" si="76"/>
        <v>30728</v>
      </c>
      <c r="I32" s="1313">
        <f t="shared" si="76"/>
        <v>31958</v>
      </c>
      <c r="J32" s="1314">
        <f t="shared" si="76"/>
        <v>33237</v>
      </c>
      <c r="K32" s="1314" t="e">
        <f t="shared" si="76"/>
        <v>#N/A</v>
      </c>
      <c r="L32" s="1314" t="e">
        <f t="shared" si="76"/>
        <v>#N/A</v>
      </c>
      <c r="M32" s="1314" t="e">
        <f t="shared" si="76"/>
        <v>#N/A</v>
      </c>
      <c r="N32" s="1314" t="e">
        <f t="shared" si="76"/>
        <v>#N/A</v>
      </c>
      <c r="O32" s="1314" t="e">
        <f t="shared" si="76"/>
        <v>#N/A</v>
      </c>
      <c r="P32" s="1314" t="e">
        <f t="shared" si="76"/>
        <v>#N/A</v>
      </c>
      <c r="Q32" s="1314" t="e">
        <f t="shared" si="76"/>
        <v>#N/A</v>
      </c>
      <c r="R32" s="1314" t="e">
        <f t="shared" si="76"/>
        <v>#N/A</v>
      </c>
      <c r="S32" s="1314" t="e">
        <f t="shared" si="76"/>
        <v>#N/A</v>
      </c>
      <c r="T32" s="1314" t="e">
        <f t="shared" si="76"/>
        <v>#N/A</v>
      </c>
      <c r="U32" s="1314" t="e">
        <f t="shared" si="76"/>
        <v>#N/A</v>
      </c>
      <c r="V32" s="1314" t="e">
        <f t="shared" si="76"/>
        <v>#N/A</v>
      </c>
      <c r="W32" s="1314" t="e">
        <f t="shared" si="76"/>
        <v>#N/A</v>
      </c>
      <c r="X32" s="1314" t="e">
        <f t="shared" si="76"/>
        <v>#N/A</v>
      </c>
      <c r="Y32" s="1314" t="e">
        <f t="shared" si="76"/>
        <v>#N/A</v>
      </c>
      <c r="Z32" s="1314" t="e">
        <f t="shared" si="11"/>
        <v>#N/A</v>
      </c>
      <c r="AA32" s="1314" t="e">
        <f t="shared" si="12"/>
        <v>#N/A</v>
      </c>
      <c r="AB32" s="1314" t="e">
        <f t="shared" si="13"/>
        <v>#N/A</v>
      </c>
      <c r="AC32" s="1314" t="e">
        <f t="shared" si="14"/>
        <v>#N/A</v>
      </c>
      <c r="AD32" s="1314" t="e">
        <f t="shared" si="15"/>
        <v>#N/A</v>
      </c>
      <c r="AE32" s="1314" t="e">
        <f t="shared" si="16"/>
        <v>#N/A</v>
      </c>
      <c r="AF32" s="1314" t="e">
        <f t="shared" si="17"/>
        <v>#N/A</v>
      </c>
      <c r="AG32" s="1314" t="e">
        <f t="shared" si="18"/>
        <v>#N/A</v>
      </c>
      <c r="AH32" s="1314" t="e">
        <f t="shared" si="19"/>
        <v>#N/A</v>
      </c>
      <c r="AI32" s="1314" t="e">
        <f t="shared" si="20"/>
        <v>#N/A</v>
      </c>
      <c r="AJ32" s="1314" t="e">
        <f t="shared" si="21"/>
        <v>#N/A</v>
      </c>
      <c r="AK32" s="1314" t="e">
        <f t="shared" si="22"/>
        <v>#N/A</v>
      </c>
      <c r="AL32" s="1314" t="e">
        <f t="shared" si="23"/>
        <v>#N/A</v>
      </c>
      <c r="AM32" s="1314" t="e">
        <f t="shared" si="24"/>
        <v>#N/A</v>
      </c>
      <c r="AN32" s="1314" t="e">
        <f t="shared" si="25"/>
        <v>#N/A</v>
      </c>
      <c r="AO32" s="1314" t="e">
        <f t="shared" si="26"/>
        <v>#N/A</v>
      </c>
      <c r="AP32" s="1314" t="e">
        <f t="shared" si="27"/>
        <v>#N/A</v>
      </c>
      <c r="AQ32" s="1314" t="e">
        <f t="shared" si="28"/>
        <v>#N/A</v>
      </c>
      <c r="AR32" s="1314" t="e">
        <f t="shared" si="29"/>
        <v>#N/A</v>
      </c>
      <c r="AS32" s="1314" t="e">
        <f t="shared" si="30"/>
        <v>#N/A</v>
      </c>
      <c r="AT32" s="1314" t="e">
        <f t="shared" si="31"/>
        <v>#N/A</v>
      </c>
      <c r="AU32" s="1314" t="e">
        <f t="shared" si="32"/>
        <v>#N/A</v>
      </c>
      <c r="AV32" s="1314" t="e">
        <f t="shared" si="33"/>
        <v>#N/A</v>
      </c>
      <c r="AW32" s="1314" t="e">
        <f t="shared" si="34"/>
        <v>#N/A</v>
      </c>
      <c r="AX32" s="1314" t="e">
        <f t="shared" si="35"/>
        <v>#N/A</v>
      </c>
      <c r="AY32" s="1314" t="e">
        <f t="shared" si="36"/>
        <v>#N/A</v>
      </c>
      <c r="AZ32" s="1314" t="e">
        <f t="shared" si="37"/>
        <v>#N/A</v>
      </c>
      <c r="BA32" s="1314" t="e">
        <f t="shared" si="38"/>
        <v>#N/A</v>
      </c>
      <c r="BB32" s="1314" t="e">
        <f t="shared" si="39"/>
        <v>#N/A</v>
      </c>
      <c r="BC32" s="1314" t="e">
        <f t="shared" si="40"/>
        <v>#N/A</v>
      </c>
      <c r="BD32" s="1314" t="e">
        <f t="shared" si="41"/>
        <v>#N/A</v>
      </c>
      <c r="BE32" s="1314" t="e">
        <f t="shared" si="42"/>
        <v>#N/A</v>
      </c>
      <c r="BF32" s="1314" t="e">
        <f t="shared" si="43"/>
        <v>#N/A</v>
      </c>
      <c r="BG32" s="1314" t="e">
        <f t="shared" si="44"/>
        <v>#N/A</v>
      </c>
      <c r="BH32" s="1314" t="e">
        <f t="shared" si="45"/>
        <v>#N/A</v>
      </c>
      <c r="BI32" s="1314" t="e">
        <f t="shared" si="46"/>
        <v>#N/A</v>
      </c>
      <c r="BJ32" s="1314" t="e">
        <f t="shared" si="47"/>
        <v>#N/A</v>
      </c>
      <c r="BK32" s="1314" t="e">
        <f t="shared" si="48"/>
        <v>#N/A</v>
      </c>
      <c r="BL32" s="1314" t="e">
        <f t="shared" si="49"/>
        <v>#N/A</v>
      </c>
      <c r="BM32" s="1314" t="e">
        <f t="shared" si="50"/>
        <v>#N/A</v>
      </c>
      <c r="BN32" s="1314" t="e">
        <f t="shared" si="51"/>
        <v>#N/A</v>
      </c>
      <c r="BO32" s="1314" t="e">
        <f t="shared" si="52"/>
        <v>#N/A</v>
      </c>
      <c r="BP32" s="1314" t="e">
        <f t="shared" si="53"/>
        <v>#N/A</v>
      </c>
      <c r="BQ32" s="1314" t="e">
        <f t="shared" si="54"/>
        <v>#N/A</v>
      </c>
      <c r="BR32" s="1314" t="e">
        <f t="shared" si="55"/>
        <v>#N/A</v>
      </c>
      <c r="BS32" s="1314" t="e">
        <f t="shared" si="56"/>
        <v>#N/A</v>
      </c>
      <c r="BT32" s="1314" t="e">
        <f t="shared" si="57"/>
        <v>#N/A</v>
      </c>
      <c r="BU32" s="1314" t="e">
        <f t="shared" si="58"/>
        <v>#N/A</v>
      </c>
      <c r="BV32" s="1314" t="e">
        <f t="shared" si="59"/>
        <v>#N/A</v>
      </c>
      <c r="BW32" s="1314" t="e">
        <f t="shared" si="60"/>
        <v>#N/A</v>
      </c>
      <c r="BX32" s="1314" t="e">
        <f t="shared" si="61"/>
        <v>#N/A</v>
      </c>
      <c r="BY32" s="1314" t="e">
        <f t="shared" si="62"/>
        <v>#N/A</v>
      </c>
      <c r="BZ32" s="1315"/>
      <c r="CA32" s="1315"/>
      <c r="CB32" s="1315"/>
      <c r="CC32" s="1315"/>
      <c r="CD32" s="1315"/>
      <c r="CE32" s="1315"/>
      <c r="CF32" s="1315"/>
      <c r="CG32" s="1315"/>
      <c r="CH32" s="1315"/>
      <c r="CI32" s="1315"/>
      <c r="CJ32" s="1315"/>
      <c r="CK32" s="1315"/>
      <c r="CL32" s="1315"/>
      <c r="CM32" s="1315"/>
      <c r="CN32" s="1315"/>
      <c r="CO32" s="1315"/>
      <c r="CP32" s="1315"/>
      <c r="CQ32" s="1315"/>
      <c r="CR32" s="1315"/>
      <c r="CS32" s="1315"/>
      <c r="CT32" s="1315"/>
      <c r="CU32" s="1315"/>
      <c r="CV32" s="1315"/>
      <c r="CW32" s="1315"/>
      <c r="CX32" s="1315"/>
      <c r="CY32" s="1315"/>
      <c r="CZ32" s="1315"/>
      <c r="DA32" s="1315"/>
      <c r="DB32" s="1315"/>
      <c r="DC32" s="1315"/>
      <c r="DD32" s="1315"/>
      <c r="DE32" s="1315"/>
      <c r="DF32" s="1315"/>
      <c r="DG32" s="1315"/>
      <c r="DH32" s="1315"/>
      <c r="DI32" s="1315"/>
      <c r="DJ32" s="1315"/>
      <c r="DK32" s="1315"/>
      <c r="DL32" s="1315"/>
      <c r="DM32" s="1315"/>
      <c r="DN32" s="1315"/>
      <c r="DO32" s="1315"/>
      <c r="DP32" s="1315"/>
      <c r="DQ32" s="1315"/>
      <c r="DR32" s="1315"/>
      <c r="DS32" s="1315"/>
      <c r="DT32" s="1315"/>
      <c r="DU32" s="1315"/>
      <c r="DV32" s="1315"/>
      <c r="DW32" s="1315"/>
      <c r="DX32" s="1315"/>
      <c r="DY32" s="1315"/>
      <c r="DZ32" s="1315"/>
      <c r="EA32" s="1315"/>
      <c r="EB32" s="1315"/>
      <c r="EC32" s="1315"/>
      <c r="ED32" s="1315"/>
      <c r="EE32" s="1315"/>
      <c r="EF32" s="1315"/>
      <c r="EG32" s="1315"/>
      <c r="EH32" s="1315"/>
      <c r="EI32" s="1315"/>
      <c r="EJ32" s="1315"/>
      <c r="EK32" s="1315"/>
      <c r="EL32" s="1315"/>
      <c r="EM32" s="1315"/>
      <c r="EN32" s="1315"/>
      <c r="EO32" s="1315"/>
      <c r="EP32" s="1315"/>
      <c r="EQ32" s="1315"/>
      <c r="ER32" s="1315"/>
      <c r="ES32" s="1315"/>
      <c r="ET32" s="1315"/>
      <c r="EU32" s="1315"/>
      <c r="EV32" s="1315"/>
      <c r="EW32" s="1315"/>
      <c r="EX32" s="1315"/>
      <c r="EY32" s="1315"/>
      <c r="EZ32" s="1315"/>
      <c r="FA32" s="1315"/>
      <c r="FB32" s="1315"/>
      <c r="FC32" s="1315"/>
      <c r="FD32" s="1315"/>
      <c r="FE32" s="1315"/>
      <c r="FF32" s="1315"/>
      <c r="FG32" s="1315"/>
      <c r="FH32" s="1315"/>
      <c r="FI32" s="1315"/>
      <c r="FJ32" s="1315"/>
      <c r="FK32" s="1315"/>
      <c r="FL32" s="1315"/>
      <c r="FM32" s="1315"/>
      <c r="FN32" s="1315"/>
      <c r="FO32" s="1315"/>
      <c r="FP32" s="1315"/>
      <c r="FQ32" s="1315"/>
      <c r="FR32" s="1315"/>
      <c r="FS32" s="1315"/>
      <c r="FT32" s="1315"/>
      <c r="FU32" s="1315"/>
      <c r="FV32" s="1315"/>
      <c r="FW32" s="1315"/>
      <c r="FX32" s="1315"/>
      <c r="FY32" s="1315"/>
      <c r="FZ32" s="1315"/>
      <c r="GA32" s="1315"/>
      <c r="GB32" s="1315"/>
      <c r="GC32" s="1315"/>
      <c r="GD32" s="1315"/>
      <c r="GE32" s="1315"/>
      <c r="GF32" s="1315"/>
      <c r="GG32" s="1315"/>
      <c r="GH32" s="1315"/>
      <c r="GI32" s="1315"/>
      <c r="GJ32" s="1315"/>
      <c r="GK32" s="1315"/>
      <c r="GL32" s="1315"/>
      <c r="GM32" s="1315"/>
      <c r="GN32" s="1315"/>
      <c r="GO32" s="1315"/>
      <c r="GP32" s="1315"/>
      <c r="GQ32" s="1315"/>
      <c r="GR32" s="1315"/>
      <c r="GS32" s="1315"/>
      <c r="GT32" s="1315"/>
      <c r="GU32" s="1315"/>
      <c r="GV32" s="1315"/>
      <c r="GW32" s="1315"/>
      <c r="GX32" s="1315"/>
      <c r="GY32" s="1315"/>
      <c r="GZ32" s="1315"/>
      <c r="HA32" s="1315"/>
      <c r="HB32" s="1315"/>
      <c r="HC32" s="1315"/>
      <c r="HD32" s="1315"/>
      <c r="HE32" s="1315"/>
      <c r="HF32" s="1315"/>
      <c r="HG32" s="1315"/>
      <c r="HH32" s="1315"/>
      <c r="HI32" s="1315"/>
      <c r="HJ32" s="1315"/>
      <c r="HK32" s="1315"/>
      <c r="HL32" s="1315"/>
      <c r="HM32" s="1315"/>
      <c r="HN32" s="1315"/>
      <c r="HO32" s="1315"/>
      <c r="HP32" s="1315"/>
      <c r="HQ32" s="1315"/>
      <c r="HR32" s="1315"/>
      <c r="HS32" s="1315"/>
      <c r="HT32" s="1315"/>
      <c r="HU32" s="1315"/>
      <c r="HV32" s="1315"/>
      <c r="HW32" s="1315"/>
      <c r="HX32" s="1315"/>
      <c r="HY32" s="1315"/>
      <c r="HZ32" s="1315"/>
      <c r="IA32" s="1315"/>
      <c r="IB32" s="1315"/>
      <c r="IC32" s="1315"/>
      <c r="ID32" s="1315"/>
      <c r="IE32" s="1315"/>
      <c r="IF32" s="1315"/>
      <c r="IG32" s="1315"/>
      <c r="IH32" s="1315"/>
      <c r="II32" s="1315"/>
      <c r="IJ32" s="1315"/>
    </row>
    <row r="33" spans="1:244" s="53" customFormat="1" ht="12" x14ac:dyDescent="0.2">
      <c r="A33" s="444">
        <f t="shared" si="65"/>
        <v>22</v>
      </c>
      <c r="B33" s="1312">
        <v>4880</v>
      </c>
      <c r="C33" s="1313">
        <f t="shared" si="66"/>
        <v>26000</v>
      </c>
      <c r="D33" s="1313">
        <f t="shared" si="9"/>
        <v>27040</v>
      </c>
      <c r="E33" s="1313">
        <f t="shared" ref="E33:Y33" si="77">ROUNDUP(D33*(E$10+1),0)</f>
        <v>28203</v>
      </c>
      <c r="F33" s="1313">
        <f t="shared" si="77"/>
        <v>29050</v>
      </c>
      <c r="G33" s="1313">
        <f t="shared" si="77"/>
        <v>30125</v>
      </c>
      <c r="H33" s="1313">
        <f t="shared" si="77"/>
        <v>31330</v>
      </c>
      <c r="I33" s="1313">
        <f t="shared" si="77"/>
        <v>32584</v>
      </c>
      <c r="J33" s="1314">
        <f t="shared" si="77"/>
        <v>33888</v>
      </c>
      <c r="K33" s="1314" t="e">
        <f t="shared" si="77"/>
        <v>#N/A</v>
      </c>
      <c r="L33" s="1314" t="e">
        <f t="shared" si="77"/>
        <v>#N/A</v>
      </c>
      <c r="M33" s="1314" t="e">
        <f t="shared" si="77"/>
        <v>#N/A</v>
      </c>
      <c r="N33" s="1314" t="e">
        <f t="shared" si="77"/>
        <v>#N/A</v>
      </c>
      <c r="O33" s="1314" t="e">
        <f t="shared" si="77"/>
        <v>#N/A</v>
      </c>
      <c r="P33" s="1314" t="e">
        <f t="shared" si="77"/>
        <v>#N/A</v>
      </c>
      <c r="Q33" s="1314" t="e">
        <f t="shared" si="77"/>
        <v>#N/A</v>
      </c>
      <c r="R33" s="1314" t="e">
        <f t="shared" si="77"/>
        <v>#N/A</v>
      </c>
      <c r="S33" s="1314" t="e">
        <f t="shared" si="77"/>
        <v>#N/A</v>
      </c>
      <c r="T33" s="1314" t="e">
        <f t="shared" si="77"/>
        <v>#N/A</v>
      </c>
      <c r="U33" s="1314" t="e">
        <f t="shared" si="77"/>
        <v>#N/A</v>
      </c>
      <c r="V33" s="1314" t="e">
        <f t="shared" si="77"/>
        <v>#N/A</v>
      </c>
      <c r="W33" s="1314" t="e">
        <f t="shared" si="77"/>
        <v>#N/A</v>
      </c>
      <c r="X33" s="1314" t="e">
        <f t="shared" si="77"/>
        <v>#N/A</v>
      </c>
      <c r="Y33" s="1314" t="e">
        <f t="shared" si="77"/>
        <v>#N/A</v>
      </c>
      <c r="Z33" s="1314" t="e">
        <f t="shared" si="11"/>
        <v>#N/A</v>
      </c>
      <c r="AA33" s="1314" t="e">
        <f t="shared" si="12"/>
        <v>#N/A</v>
      </c>
      <c r="AB33" s="1314" t="e">
        <f t="shared" si="13"/>
        <v>#N/A</v>
      </c>
      <c r="AC33" s="1314" t="e">
        <f t="shared" si="14"/>
        <v>#N/A</v>
      </c>
      <c r="AD33" s="1314" t="e">
        <f t="shared" si="15"/>
        <v>#N/A</v>
      </c>
      <c r="AE33" s="1314" t="e">
        <f t="shared" si="16"/>
        <v>#N/A</v>
      </c>
      <c r="AF33" s="1314" t="e">
        <f t="shared" si="17"/>
        <v>#N/A</v>
      </c>
      <c r="AG33" s="1314" t="e">
        <f t="shared" si="18"/>
        <v>#N/A</v>
      </c>
      <c r="AH33" s="1314" t="e">
        <f t="shared" si="19"/>
        <v>#N/A</v>
      </c>
      <c r="AI33" s="1314" t="e">
        <f t="shared" si="20"/>
        <v>#N/A</v>
      </c>
      <c r="AJ33" s="1314" t="e">
        <f t="shared" si="21"/>
        <v>#N/A</v>
      </c>
      <c r="AK33" s="1314" t="e">
        <f t="shared" si="22"/>
        <v>#N/A</v>
      </c>
      <c r="AL33" s="1314" t="e">
        <f t="shared" si="23"/>
        <v>#N/A</v>
      </c>
      <c r="AM33" s="1314" t="e">
        <f t="shared" si="24"/>
        <v>#N/A</v>
      </c>
      <c r="AN33" s="1314" t="e">
        <f t="shared" si="25"/>
        <v>#N/A</v>
      </c>
      <c r="AO33" s="1314" t="e">
        <f t="shared" si="26"/>
        <v>#N/A</v>
      </c>
      <c r="AP33" s="1314" t="e">
        <f t="shared" si="27"/>
        <v>#N/A</v>
      </c>
      <c r="AQ33" s="1314" t="e">
        <f t="shared" si="28"/>
        <v>#N/A</v>
      </c>
      <c r="AR33" s="1314" t="e">
        <f t="shared" si="29"/>
        <v>#N/A</v>
      </c>
      <c r="AS33" s="1314" t="e">
        <f t="shared" si="30"/>
        <v>#N/A</v>
      </c>
      <c r="AT33" s="1314" t="e">
        <f t="shared" si="31"/>
        <v>#N/A</v>
      </c>
      <c r="AU33" s="1314" t="e">
        <f t="shared" si="32"/>
        <v>#N/A</v>
      </c>
      <c r="AV33" s="1314" t="e">
        <f t="shared" si="33"/>
        <v>#N/A</v>
      </c>
      <c r="AW33" s="1314" t="e">
        <f t="shared" si="34"/>
        <v>#N/A</v>
      </c>
      <c r="AX33" s="1314" t="e">
        <f t="shared" si="35"/>
        <v>#N/A</v>
      </c>
      <c r="AY33" s="1314" t="e">
        <f t="shared" si="36"/>
        <v>#N/A</v>
      </c>
      <c r="AZ33" s="1314" t="e">
        <f t="shared" si="37"/>
        <v>#N/A</v>
      </c>
      <c r="BA33" s="1314" t="e">
        <f t="shared" si="38"/>
        <v>#N/A</v>
      </c>
      <c r="BB33" s="1314" t="e">
        <f t="shared" si="39"/>
        <v>#N/A</v>
      </c>
      <c r="BC33" s="1314" t="e">
        <f t="shared" si="40"/>
        <v>#N/A</v>
      </c>
      <c r="BD33" s="1314" t="e">
        <f t="shared" si="41"/>
        <v>#N/A</v>
      </c>
      <c r="BE33" s="1314" t="e">
        <f t="shared" si="42"/>
        <v>#N/A</v>
      </c>
      <c r="BF33" s="1314" t="e">
        <f t="shared" si="43"/>
        <v>#N/A</v>
      </c>
      <c r="BG33" s="1314" t="e">
        <f t="shared" si="44"/>
        <v>#N/A</v>
      </c>
      <c r="BH33" s="1314" t="e">
        <f t="shared" si="45"/>
        <v>#N/A</v>
      </c>
      <c r="BI33" s="1314" t="e">
        <f t="shared" si="46"/>
        <v>#N/A</v>
      </c>
      <c r="BJ33" s="1314" t="e">
        <f t="shared" si="47"/>
        <v>#N/A</v>
      </c>
      <c r="BK33" s="1314" t="e">
        <f t="shared" si="48"/>
        <v>#N/A</v>
      </c>
      <c r="BL33" s="1314" t="e">
        <f t="shared" si="49"/>
        <v>#N/A</v>
      </c>
      <c r="BM33" s="1314" t="e">
        <f t="shared" si="50"/>
        <v>#N/A</v>
      </c>
      <c r="BN33" s="1314" t="e">
        <f t="shared" si="51"/>
        <v>#N/A</v>
      </c>
      <c r="BO33" s="1314" t="e">
        <f t="shared" si="52"/>
        <v>#N/A</v>
      </c>
      <c r="BP33" s="1314" t="e">
        <f t="shared" si="53"/>
        <v>#N/A</v>
      </c>
      <c r="BQ33" s="1314" t="e">
        <f t="shared" si="54"/>
        <v>#N/A</v>
      </c>
      <c r="BR33" s="1314" t="e">
        <f t="shared" si="55"/>
        <v>#N/A</v>
      </c>
      <c r="BS33" s="1314" t="e">
        <f t="shared" si="56"/>
        <v>#N/A</v>
      </c>
      <c r="BT33" s="1314" t="e">
        <f t="shared" si="57"/>
        <v>#N/A</v>
      </c>
      <c r="BU33" s="1314" t="e">
        <f t="shared" si="58"/>
        <v>#N/A</v>
      </c>
      <c r="BV33" s="1314" t="e">
        <f t="shared" si="59"/>
        <v>#N/A</v>
      </c>
      <c r="BW33" s="1314" t="e">
        <f t="shared" si="60"/>
        <v>#N/A</v>
      </c>
      <c r="BX33" s="1314" t="e">
        <f t="shared" si="61"/>
        <v>#N/A</v>
      </c>
      <c r="BY33" s="1314" t="e">
        <f t="shared" si="62"/>
        <v>#N/A</v>
      </c>
      <c r="BZ33" s="1315"/>
      <c r="CA33" s="1315"/>
      <c r="CB33" s="1315"/>
      <c r="CC33" s="1315"/>
      <c r="CD33" s="1315"/>
      <c r="CE33" s="1315"/>
      <c r="CF33" s="1315"/>
      <c r="CG33" s="1315"/>
      <c r="CH33" s="1315"/>
      <c r="CI33" s="1315"/>
      <c r="CJ33" s="1315"/>
      <c r="CK33" s="1315"/>
      <c r="CL33" s="1315"/>
      <c r="CM33" s="1315"/>
      <c r="CN33" s="1315"/>
      <c r="CO33" s="1315"/>
      <c r="CP33" s="1315"/>
      <c r="CQ33" s="1315"/>
      <c r="CR33" s="1315"/>
      <c r="CS33" s="1315"/>
      <c r="CT33" s="1315"/>
      <c r="CU33" s="1315"/>
      <c r="CV33" s="1315"/>
      <c r="CW33" s="1315"/>
      <c r="CX33" s="1315"/>
      <c r="CY33" s="1315"/>
      <c r="CZ33" s="1315"/>
      <c r="DA33" s="1315"/>
      <c r="DB33" s="1315"/>
      <c r="DC33" s="1315"/>
      <c r="DD33" s="1315"/>
      <c r="DE33" s="1315"/>
      <c r="DF33" s="1315"/>
      <c r="DG33" s="1315"/>
      <c r="DH33" s="1315"/>
      <c r="DI33" s="1315"/>
      <c r="DJ33" s="1315"/>
      <c r="DK33" s="1315"/>
      <c r="DL33" s="1315"/>
      <c r="DM33" s="1315"/>
      <c r="DN33" s="1315"/>
      <c r="DO33" s="1315"/>
      <c r="DP33" s="1315"/>
      <c r="DQ33" s="1315"/>
      <c r="DR33" s="1315"/>
      <c r="DS33" s="1315"/>
      <c r="DT33" s="1315"/>
      <c r="DU33" s="1315"/>
      <c r="DV33" s="1315"/>
      <c r="DW33" s="1315"/>
      <c r="DX33" s="1315"/>
      <c r="DY33" s="1315"/>
      <c r="DZ33" s="1315"/>
      <c r="EA33" s="1315"/>
      <c r="EB33" s="1315"/>
      <c r="EC33" s="1315"/>
      <c r="ED33" s="1315"/>
      <c r="EE33" s="1315"/>
      <c r="EF33" s="1315"/>
      <c r="EG33" s="1315"/>
      <c r="EH33" s="1315"/>
      <c r="EI33" s="1315"/>
      <c r="EJ33" s="1315"/>
      <c r="EK33" s="1315"/>
      <c r="EL33" s="1315"/>
      <c r="EM33" s="1315"/>
      <c r="EN33" s="1315"/>
      <c r="EO33" s="1315"/>
      <c r="EP33" s="1315"/>
      <c r="EQ33" s="1315"/>
      <c r="ER33" s="1315"/>
      <c r="ES33" s="1315"/>
      <c r="ET33" s="1315"/>
      <c r="EU33" s="1315"/>
      <c r="EV33" s="1315"/>
      <c r="EW33" s="1315"/>
      <c r="EX33" s="1315"/>
      <c r="EY33" s="1315"/>
      <c r="EZ33" s="1315"/>
      <c r="FA33" s="1315"/>
      <c r="FB33" s="1315"/>
      <c r="FC33" s="1315"/>
      <c r="FD33" s="1315"/>
      <c r="FE33" s="1315"/>
      <c r="FF33" s="1315"/>
      <c r="FG33" s="1315"/>
      <c r="FH33" s="1315"/>
      <c r="FI33" s="1315"/>
      <c r="FJ33" s="1315"/>
      <c r="FK33" s="1315"/>
      <c r="FL33" s="1315"/>
      <c r="FM33" s="1315"/>
      <c r="FN33" s="1315"/>
      <c r="FO33" s="1315"/>
      <c r="FP33" s="1315"/>
      <c r="FQ33" s="1315"/>
      <c r="FR33" s="1315"/>
      <c r="FS33" s="1315"/>
      <c r="FT33" s="1315"/>
      <c r="FU33" s="1315"/>
      <c r="FV33" s="1315"/>
      <c r="FW33" s="1315"/>
      <c r="FX33" s="1315"/>
      <c r="FY33" s="1315"/>
      <c r="FZ33" s="1315"/>
      <c r="GA33" s="1315"/>
      <c r="GB33" s="1315"/>
      <c r="GC33" s="1315"/>
      <c r="GD33" s="1315"/>
      <c r="GE33" s="1315"/>
      <c r="GF33" s="1315"/>
      <c r="GG33" s="1315"/>
      <c r="GH33" s="1315"/>
      <c r="GI33" s="1315"/>
      <c r="GJ33" s="1315"/>
      <c r="GK33" s="1315"/>
      <c r="GL33" s="1315"/>
      <c r="GM33" s="1315"/>
      <c r="GN33" s="1315"/>
      <c r="GO33" s="1315"/>
      <c r="GP33" s="1315"/>
      <c r="GQ33" s="1315"/>
      <c r="GR33" s="1315"/>
      <c r="GS33" s="1315"/>
      <c r="GT33" s="1315"/>
      <c r="GU33" s="1315"/>
      <c r="GV33" s="1315"/>
      <c r="GW33" s="1315"/>
      <c r="GX33" s="1315"/>
      <c r="GY33" s="1315"/>
      <c r="GZ33" s="1315"/>
      <c r="HA33" s="1315"/>
      <c r="HB33" s="1315"/>
      <c r="HC33" s="1315"/>
      <c r="HD33" s="1315"/>
      <c r="HE33" s="1315"/>
      <c r="HF33" s="1315"/>
      <c r="HG33" s="1315"/>
      <c r="HH33" s="1315"/>
      <c r="HI33" s="1315"/>
      <c r="HJ33" s="1315"/>
      <c r="HK33" s="1315"/>
      <c r="HL33" s="1315"/>
      <c r="HM33" s="1315"/>
      <c r="HN33" s="1315"/>
      <c r="HO33" s="1315"/>
      <c r="HP33" s="1315"/>
      <c r="HQ33" s="1315"/>
      <c r="HR33" s="1315"/>
      <c r="HS33" s="1315"/>
      <c r="HT33" s="1315"/>
      <c r="HU33" s="1315"/>
      <c r="HV33" s="1315"/>
      <c r="HW33" s="1315"/>
      <c r="HX33" s="1315"/>
      <c r="HY33" s="1315"/>
      <c r="HZ33" s="1315"/>
      <c r="IA33" s="1315"/>
      <c r="IB33" s="1315"/>
      <c r="IC33" s="1315"/>
      <c r="ID33" s="1315"/>
      <c r="IE33" s="1315"/>
      <c r="IF33" s="1315"/>
      <c r="IG33" s="1315"/>
      <c r="IH33" s="1315"/>
      <c r="II33" s="1315"/>
      <c r="IJ33" s="1315"/>
    </row>
    <row r="34" spans="1:244" s="53" customFormat="1" ht="12" x14ac:dyDescent="0.2">
      <c r="A34" s="444">
        <f t="shared" si="65"/>
        <v>23</v>
      </c>
      <c r="B34" s="1312">
        <v>4992</v>
      </c>
      <c r="C34" s="1313">
        <f t="shared" si="66"/>
        <v>26500</v>
      </c>
      <c r="D34" s="1313">
        <f t="shared" si="9"/>
        <v>27560</v>
      </c>
      <c r="E34" s="1313">
        <f t="shared" ref="E34:Y34" si="78">ROUNDUP(D34*(E$10+1),0)</f>
        <v>28746</v>
      </c>
      <c r="F34" s="1313">
        <f t="shared" si="78"/>
        <v>29609</v>
      </c>
      <c r="G34" s="1313">
        <f t="shared" si="78"/>
        <v>30705</v>
      </c>
      <c r="H34" s="1313">
        <f t="shared" si="78"/>
        <v>31934</v>
      </c>
      <c r="I34" s="1313">
        <f t="shared" si="78"/>
        <v>33212</v>
      </c>
      <c r="J34" s="1314">
        <f t="shared" si="78"/>
        <v>34541</v>
      </c>
      <c r="K34" s="1314" t="e">
        <f t="shared" si="78"/>
        <v>#N/A</v>
      </c>
      <c r="L34" s="1314" t="e">
        <f t="shared" si="78"/>
        <v>#N/A</v>
      </c>
      <c r="M34" s="1314" t="e">
        <f t="shared" si="78"/>
        <v>#N/A</v>
      </c>
      <c r="N34" s="1314" t="e">
        <f t="shared" si="78"/>
        <v>#N/A</v>
      </c>
      <c r="O34" s="1314" t="e">
        <f t="shared" si="78"/>
        <v>#N/A</v>
      </c>
      <c r="P34" s="1314" t="e">
        <f t="shared" si="78"/>
        <v>#N/A</v>
      </c>
      <c r="Q34" s="1314" t="e">
        <f t="shared" si="78"/>
        <v>#N/A</v>
      </c>
      <c r="R34" s="1314" t="e">
        <f t="shared" si="78"/>
        <v>#N/A</v>
      </c>
      <c r="S34" s="1314" t="e">
        <f t="shared" si="78"/>
        <v>#N/A</v>
      </c>
      <c r="T34" s="1314" t="e">
        <f t="shared" si="78"/>
        <v>#N/A</v>
      </c>
      <c r="U34" s="1314" t="e">
        <f t="shared" si="78"/>
        <v>#N/A</v>
      </c>
      <c r="V34" s="1314" t="e">
        <f t="shared" si="78"/>
        <v>#N/A</v>
      </c>
      <c r="W34" s="1314" t="e">
        <f t="shared" si="78"/>
        <v>#N/A</v>
      </c>
      <c r="X34" s="1314" t="e">
        <f t="shared" si="78"/>
        <v>#N/A</v>
      </c>
      <c r="Y34" s="1314" t="e">
        <f t="shared" si="78"/>
        <v>#N/A</v>
      </c>
      <c r="Z34" s="1314" t="e">
        <f t="shared" si="11"/>
        <v>#N/A</v>
      </c>
      <c r="AA34" s="1314" t="e">
        <f t="shared" si="12"/>
        <v>#N/A</v>
      </c>
      <c r="AB34" s="1314" t="e">
        <f t="shared" si="13"/>
        <v>#N/A</v>
      </c>
      <c r="AC34" s="1314" t="e">
        <f t="shared" si="14"/>
        <v>#N/A</v>
      </c>
      <c r="AD34" s="1314" t="e">
        <f t="shared" si="15"/>
        <v>#N/A</v>
      </c>
      <c r="AE34" s="1314" t="e">
        <f t="shared" si="16"/>
        <v>#N/A</v>
      </c>
      <c r="AF34" s="1314" t="e">
        <f t="shared" si="17"/>
        <v>#N/A</v>
      </c>
      <c r="AG34" s="1314" t="e">
        <f t="shared" si="18"/>
        <v>#N/A</v>
      </c>
      <c r="AH34" s="1314" t="e">
        <f t="shared" si="19"/>
        <v>#N/A</v>
      </c>
      <c r="AI34" s="1314" t="e">
        <f t="shared" si="20"/>
        <v>#N/A</v>
      </c>
      <c r="AJ34" s="1314" t="e">
        <f t="shared" si="21"/>
        <v>#N/A</v>
      </c>
      <c r="AK34" s="1314" t="e">
        <f t="shared" si="22"/>
        <v>#N/A</v>
      </c>
      <c r="AL34" s="1314" t="e">
        <f t="shared" si="23"/>
        <v>#N/A</v>
      </c>
      <c r="AM34" s="1314" t="e">
        <f t="shared" si="24"/>
        <v>#N/A</v>
      </c>
      <c r="AN34" s="1314" t="e">
        <f t="shared" si="25"/>
        <v>#N/A</v>
      </c>
      <c r="AO34" s="1314" t="e">
        <f t="shared" si="26"/>
        <v>#N/A</v>
      </c>
      <c r="AP34" s="1314" t="e">
        <f t="shared" si="27"/>
        <v>#N/A</v>
      </c>
      <c r="AQ34" s="1314" t="e">
        <f t="shared" si="28"/>
        <v>#N/A</v>
      </c>
      <c r="AR34" s="1314" t="e">
        <f t="shared" si="29"/>
        <v>#N/A</v>
      </c>
      <c r="AS34" s="1314" t="e">
        <f t="shared" si="30"/>
        <v>#N/A</v>
      </c>
      <c r="AT34" s="1314" t="e">
        <f t="shared" si="31"/>
        <v>#N/A</v>
      </c>
      <c r="AU34" s="1314" t="e">
        <f t="shared" si="32"/>
        <v>#N/A</v>
      </c>
      <c r="AV34" s="1314" t="e">
        <f t="shared" si="33"/>
        <v>#N/A</v>
      </c>
      <c r="AW34" s="1314" t="e">
        <f t="shared" si="34"/>
        <v>#N/A</v>
      </c>
      <c r="AX34" s="1314" t="e">
        <f t="shared" si="35"/>
        <v>#N/A</v>
      </c>
      <c r="AY34" s="1314" t="e">
        <f t="shared" si="36"/>
        <v>#N/A</v>
      </c>
      <c r="AZ34" s="1314" t="e">
        <f t="shared" si="37"/>
        <v>#N/A</v>
      </c>
      <c r="BA34" s="1314" t="e">
        <f t="shared" si="38"/>
        <v>#N/A</v>
      </c>
      <c r="BB34" s="1314" t="e">
        <f t="shared" si="39"/>
        <v>#N/A</v>
      </c>
      <c r="BC34" s="1314" t="e">
        <f t="shared" si="40"/>
        <v>#N/A</v>
      </c>
      <c r="BD34" s="1314" t="e">
        <f t="shared" si="41"/>
        <v>#N/A</v>
      </c>
      <c r="BE34" s="1314" t="e">
        <f t="shared" si="42"/>
        <v>#N/A</v>
      </c>
      <c r="BF34" s="1314" t="e">
        <f t="shared" si="43"/>
        <v>#N/A</v>
      </c>
      <c r="BG34" s="1314" t="e">
        <f t="shared" si="44"/>
        <v>#N/A</v>
      </c>
      <c r="BH34" s="1314" t="e">
        <f t="shared" si="45"/>
        <v>#N/A</v>
      </c>
      <c r="BI34" s="1314" t="e">
        <f t="shared" si="46"/>
        <v>#N/A</v>
      </c>
      <c r="BJ34" s="1314" t="e">
        <f t="shared" si="47"/>
        <v>#N/A</v>
      </c>
      <c r="BK34" s="1314" t="e">
        <f t="shared" si="48"/>
        <v>#N/A</v>
      </c>
      <c r="BL34" s="1314" t="e">
        <f t="shared" si="49"/>
        <v>#N/A</v>
      </c>
      <c r="BM34" s="1314" t="e">
        <f t="shared" si="50"/>
        <v>#N/A</v>
      </c>
      <c r="BN34" s="1314" t="e">
        <f t="shared" si="51"/>
        <v>#N/A</v>
      </c>
      <c r="BO34" s="1314" t="e">
        <f t="shared" si="52"/>
        <v>#N/A</v>
      </c>
      <c r="BP34" s="1314" t="e">
        <f t="shared" si="53"/>
        <v>#N/A</v>
      </c>
      <c r="BQ34" s="1314" t="e">
        <f t="shared" si="54"/>
        <v>#N/A</v>
      </c>
      <c r="BR34" s="1314" t="e">
        <f t="shared" si="55"/>
        <v>#N/A</v>
      </c>
      <c r="BS34" s="1314" t="e">
        <f t="shared" si="56"/>
        <v>#N/A</v>
      </c>
      <c r="BT34" s="1314" t="e">
        <f t="shared" si="57"/>
        <v>#N/A</v>
      </c>
      <c r="BU34" s="1314" t="e">
        <f t="shared" si="58"/>
        <v>#N/A</v>
      </c>
      <c r="BV34" s="1314" t="e">
        <f t="shared" si="59"/>
        <v>#N/A</v>
      </c>
      <c r="BW34" s="1314" t="e">
        <f t="shared" si="60"/>
        <v>#N/A</v>
      </c>
      <c r="BX34" s="1314" t="e">
        <f t="shared" si="61"/>
        <v>#N/A</v>
      </c>
      <c r="BY34" s="1314" t="e">
        <f t="shared" si="62"/>
        <v>#N/A</v>
      </c>
      <c r="BZ34" s="1315"/>
      <c r="CA34" s="1315"/>
      <c r="CB34" s="1315"/>
      <c r="CC34" s="1315"/>
      <c r="CD34" s="1315"/>
      <c r="CE34" s="1315"/>
      <c r="CF34" s="1315"/>
      <c r="CG34" s="1315"/>
      <c r="CH34" s="1315"/>
      <c r="CI34" s="1315"/>
      <c r="CJ34" s="1315"/>
      <c r="CK34" s="1315"/>
      <c r="CL34" s="1315"/>
      <c r="CM34" s="1315"/>
      <c r="CN34" s="1315"/>
      <c r="CO34" s="1315"/>
      <c r="CP34" s="1315"/>
      <c r="CQ34" s="1315"/>
      <c r="CR34" s="1315"/>
      <c r="CS34" s="1315"/>
      <c r="CT34" s="1315"/>
      <c r="CU34" s="1315"/>
      <c r="CV34" s="1315"/>
      <c r="CW34" s="1315"/>
      <c r="CX34" s="1315"/>
      <c r="CY34" s="1315"/>
      <c r="CZ34" s="1315"/>
      <c r="DA34" s="1315"/>
      <c r="DB34" s="1315"/>
      <c r="DC34" s="1315"/>
      <c r="DD34" s="1315"/>
      <c r="DE34" s="1315"/>
      <c r="DF34" s="1315"/>
      <c r="DG34" s="1315"/>
      <c r="DH34" s="1315"/>
      <c r="DI34" s="1315"/>
      <c r="DJ34" s="1315"/>
      <c r="DK34" s="1315"/>
      <c r="DL34" s="1315"/>
      <c r="DM34" s="1315"/>
      <c r="DN34" s="1315"/>
      <c r="DO34" s="1315"/>
      <c r="DP34" s="1315"/>
      <c r="DQ34" s="1315"/>
      <c r="DR34" s="1315"/>
      <c r="DS34" s="1315"/>
      <c r="DT34" s="1315"/>
      <c r="DU34" s="1315"/>
      <c r="DV34" s="1315"/>
      <c r="DW34" s="1315"/>
      <c r="DX34" s="1315"/>
      <c r="DY34" s="1315"/>
      <c r="DZ34" s="1315"/>
      <c r="EA34" s="1315"/>
      <c r="EB34" s="1315"/>
      <c r="EC34" s="1315"/>
      <c r="ED34" s="1315"/>
      <c r="EE34" s="1315"/>
      <c r="EF34" s="1315"/>
      <c r="EG34" s="1315"/>
      <c r="EH34" s="1315"/>
      <c r="EI34" s="1315"/>
      <c r="EJ34" s="1315"/>
      <c r="EK34" s="1315"/>
      <c r="EL34" s="1315"/>
      <c r="EM34" s="1315"/>
      <c r="EN34" s="1315"/>
      <c r="EO34" s="1315"/>
      <c r="EP34" s="1315"/>
      <c r="EQ34" s="1315"/>
      <c r="ER34" s="1315"/>
      <c r="ES34" s="1315"/>
      <c r="ET34" s="1315"/>
      <c r="EU34" s="1315"/>
      <c r="EV34" s="1315"/>
      <c r="EW34" s="1315"/>
      <c r="EX34" s="1315"/>
      <c r="EY34" s="1315"/>
      <c r="EZ34" s="1315"/>
      <c r="FA34" s="1315"/>
      <c r="FB34" s="1315"/>
      <c r="FC34" s="1315"/>
      <c r="FD34" s="1315"/>
      <c r="FE34" s="1315"/>
      <c r="FF34" s="1315"/>
      <c r="FG34" s="1315"/>
      <c r="FH34" s="1315"/>
      <c r="FI34" s="1315"/>
      <c r="FJ34" s="1315"/>
      <c r="FK34" s="1315"/>
      <c r="FL34" s="1315"/>
      <c r="FM34" s="1315"/>
      <c r="FN34" s="1315"/>
      <c r="FO34" s="1315"/>
      <c r="FP34" s="1315"/>
      <c r="FQ34" s="1315"/>
      <c r="FR34" s="1315"/>
      <c r="FS34" s="1315"/>
      <c r="FT34" s="1315"/>
      <c r="FU34" s="1315"/>
      <c r="FV34" s="1315"/>
      <c r="FW34" s="1315"/>
      <c r="FX34" s="1315"/>
      <c r="FY34" s="1315"/>
      <c r="FZ34" s="1315"/>
      <c r="GA34" s="1315"/>
      <c r="GB34" s="1315"/>
      <c r="GC34" s="1315"/>
      <c r="GD34" s="1315"/>
      <c r="GE34" s="1315"/>
      <c r="GF34" s="1315"/>
      <c r="GG34" s="1315"/>
      <c r="GH34" s="1315"/>
      <c r="GI34" s="1315"/>
      <c r="GJ34" s="1315"/>
      <c r="GK34" s="1315"/>
      <c r="GL34" s="1315"/>
      <c r="GM34" s="1315"/>
      <c r="GN34" s="1315"/>
      <c r="GO34" s="1315"/>
      <c r="GP34" s="1315"/>
      <c r="GQ34" s="1315"/>
      <c r="GR34" s="1315"/>
      <c r="GS34" s="1315"/>
      <c r="GT34" s="1315"/>
      <c r="GU34" s="1315"/>
      <c r="GV34" s="1315"/>
      <c r="GW34" s="1315"/>
      <c r="GX34" s="1315"/>
      <c r="GY34" s="1315"/>
      <c r="GZ34" s="1315"/>
      <c r="HA34" s="1315"/>
      <c r="HB34" s="1315"/>
      <c r="HC34" s="1315"/>
      <c r="HD34" s="1315"/>
      <c r="HE34" s="1315"/>
      <c r="HF34" s="1315"/>
      <c r="HG34" s="1315"/>
      <c r="HH34" s="1315"/>
      <c r="HI34" s="1315"/>
      <c r="HJ34" s="1315"/>
      <c r="HK34" s="1315"/>
      <c r="HL34" s="1315"/>
      <c r="HM34" s="1315"/>
      <c r="HN34" s="1315"/>
      <c r="HO34" s="1315"/>
      <c r="HP34" s="1315"/>
      <c r="HQ34" s="1315"/>
      <c r="HR34" s="1315"/>
      <c r="HS34" s="1315"/>
      <c r="HT34" s="1315"/>
      <c r="HU34" s="1315"/>
      <c r="HV34" s="1315"/>
      <c r="HW34" s="1315"/>
      <c r="HX34" s="1315"/>
      <c r="HY34" s="1315"/>
      <c r="HZ34" s="1315"/>
      <c r="IA34" s="1315"/>
      <c r="IB34" s="1315"/>
      <c r="IC34" s="1315"/>
      <c r="ID34" s="1315"/>
      <c r="IE34" s="1315"/>
      <c r="IF34" s="1315"/>
      <c r="IG34" s="1315"/>
      <c r="IH34" s="1315"/>
      <c r="II34" s="1315"/>
      <c r="IJ34" s="1315"/>
    </row>
    <row r="35" spans="1:244" s="53" customFormat="1" ht="12" x14ac:dyDescent="0.2">
      <c r="A35" s="444">
        <f t="shared" si="65"/>
        <v>24</v>
      </c>
      <c r="B35" s="1312">
        <v>5103</v>
      </c>
      <c r="C35" s="1313">
        <f t="shared" si="66"/>
        <v>27000</v>
      </c>
      <c r="D35" s="1313">
        <f t="shared" si="9"/>
        <v>28080</v>
      </c>
      <c r="E35" s="1313">
        <f t="shared" ref="E35:Y35" si="79">ROUNDUP(D35*(E$10+1),0)</f>
        <v>29288</v>
      </c>
      <c r="F35" s="1313">
        <f t="shared" si="79"/>
        <v>30167</v>
      </c>
      <c r="G35" s="1313">
        <f t="shared" si="79"/>
        <v>31284</v>
      </c>
      <c r="H35" s="1313">
        <f t="shared" si="79"/>
        <v>32536</v>
      </c>
      <c r="I35" s="1313">
        <f t="shared" si="79"/>
        <v>33838</v>
      </c>
      <c r="J35" s="1314">
        <f t="shared" si="79"/>
        <v>35192</v>
      </c>
      <c r="K35" s="1314" t="e">
        <f t="shared" si="79"/>
        <v>#N/A</v>
      </c>
      <c r="L35" s="1314" t="e">
        <f t="shared" si="79"/>
        <v>#N/A</v>
      </c>
      <c r="M35" s="1314" t="e">
        <f t="shared" si="79"/>
        <v>#N/A</v>
      </c>
      <c r="N35" s="1314" t="e">
        <f t="shared" si="79"/>
        <v>#N/A</v>
      </c>
      <c r="O35" s="1314" t="e">
        <f t="shared" si="79"/>
        <v>#N/A</v>
      </c>
      <c r="P35" s="1314" t="e">
        <f t="shared" si="79"/>
        <v>#N/A</v>
      </c>
      <c r="Q35" s="1314" t="e">
        <f t="shared" si="79"/>
        <v>#N/A</v>
      </c>
      <c r="R35" s="1314" t="e">
        <f t="shared" si="79"/>
        <v>#N/A</v>
      </c>
      <c r="S35" s="1314" t="e">
        <f t="shared" si="79"/>
        <v>#N/A</v>
      </c>
      <c r="T35" s="1314" t="e">
        <f t="shared" si="79"/>
        <v>#N/A</v>
      </c>
      <c r="U35" s="1314" t="e">
        <f t="shared" si="79"/>
        <v>#N/A</v>
      </c>
      <c r="V35" s="1314" t="e">
        <f t="shared" si="79"/>
        <v>#N/A</v>
      </c>
      <c r="W35" s="1314" t="e">
        <f t="shared" si="79"/>
        <v>#N/A</v>
      </c>
      <c r="X35" s="1314" t="e">
        <f t="shared" si="79"/>
        <v>#N/A</v>
      </c>
      <c r="Y35" s="1314" t="e">
        <f t="shared" si="79"/>
        <v>#N/A</v>
      </c>
      <c r="Z35" s="1314" t="e">
        <f t="shared" si="11"/>
        <v>#N/A</v>
      </c>
      <c r="AA35" s="1314" t="e">
        <f t="shared" si="12"/>
        <v>#N/A</v>
      </c>
      <c r="AB35" s="1314" t="e">
        <f t="shared" si="13"/>
        <v>#N/A</v>
      </c>
      <c r="AC35" s="1314" t="e">
        <f t="shared" si="14"/>
        <v>#N/A</v>
      </c>
      <c r="AD35" s="1314" t="e">
        <f t="shared" si="15"/>
        <v>#N/A</v>
      </c>
      <c r="AE35" s="1314" t="e">
        <f t="shared" si="16"/>
        <v>#N/A</v>
      </c>
      <c r="AF35" s="1314" t="e">
        <f t="shared" si="17"/>
        <v>#N/A</v>
      </c>
      <c r="AG35" s="1314" t="e">
        <f t="shared" si="18"/>
        <v>#N/A</v>
      </c>
      <c r="AH35" s="1314" t="e">
        <f t="shared" si="19"/>
        <v>#N/A</v>
      </c>
      <c r="AI35" s="1314" t="e">
        <f t="shared" si="20"/>
        <v>#N/A</v>
      </c>
      <c r="AJ35" s="1314" t="e">
        <f t="shared" si="21"/>
        <v>#N/A</v>
      </c>
      <c r="AK35" s="1314" t="e">
        <f t="shared" si="22"/>
        <v>#N/A</v>
      </c>
      <c r="AL35" s="1314" t="e">
        <f t="shared" si="23"/>
        <v>#N/A</v>
      </c>
      <c r="AM35" s="1314" t="e">
        <f t="shared" si="24"/>
        <v>#N/A</v>
      </c>
      <c r="AN35" s="1314" t="e">
        <f t="shared" si="25"/>
        <v>#N/A</v>
      </c>
      <c r="AO35" s="1314" t="e">
        <f t="shared" si="26"/>
        <v>#N/A</v>
      </c>
      <c r="AP35" s="1314" t="e">
        <f t="shared" si="27"/>
        <v>#N/A</v>
      </c>
      <c r="AQ35" s="1314" t="e">
        <f t="shared" si="28"/>
        <v>#N/A</v>
      </c>
      <c r="AR35" s="1314" t="e">
        <f t="shared" si="29"/>
        <v>#N/A</v>
      </c>
      <c r="AS35" s="1314" t="e">
        <f t="shared" si="30"/>
        <v>#N/A</v>
      </c>
      <c r="AT35" s="1314" t="e">
        <f t="shared" si="31"/>
        <v>#N/A</v>
      </c>
      <c r="AU35" s="1314" t="e">
        <f t="shared" si="32"/>
        <v>#N/A</v>
      </c>
      <c r="AV35" s="1314" t="e">
        <f t="shared" si="33"/>
        <v>#N/A</v>
      </c>
      <c r="AW35" s="1314" t="e">
        <f t="shared" si="34"/>
        <v>#N/A</v>
      </c>
      <c r="AX35" s="1314" t="e">
        <f t="shared" si="35"/>
        <v>#N/A</v>
      </c>
      <c r="AY35" s="1314" t="e">
        <f t="shared" si="36"/>
        <v>#N/A</v>
      </c>
      <c r="AZ35" s="1314" t="e">
        <f t="shared" si="37"/>
        <v>#N/A</v>
      </c>
      <c r="BA35" s="1314" t="e">
        <f t="shared" si="38"/>
        <v>#N/A</v>
      </c>
      <c r="BB35" s="1314" t="e">
        <f t="shared" si="39"/>
        <v>#N/A</v>
      </c>
      <c r="BC35" s="1314" t="e">
        <f t="shared" si="40"/>
        <v>#N/A</v>
      </c>
      <c r="BD35" s="1314" t="e">
        <f t="shared" si="41"/>
        <v>#N/A</v>
      </c>
      <c r="BE35" s="1314" t="e">
        <f t="shared" si="42"/>
        <v>#N/A</v>
      </c>
      <c r="BF35" s="1314" t="e">
        <f t="shared" si="43"/>
        <v>#N/A</v>
      </c>
      <c r="BG35" s="1314" t="e">
        <f t="shared" si="44"/>
        <v>#N/A</v>
      </c>
      <c r="BH35" s="1314" t="e">
        <f t="shared" si="45"/>
        <v>#N/A</v>
      </c>
      <c r="BI35" s="1314" t="e">
        <f t="shared" si="46"/>
        <v>#N/A</v>
      </c>
      <c r="BJ35" s="1314" t="e">
        <f t="shared" si="47"/>
        <v>#N/A</v>
      </c>
      <c r="BK35" s="1314" t="e">
        <f t="shared" si="48"/>
        <v>#N/A</v>
      </c>
      <c r="BL35" s="1314" t="e">
        <f t="shared" si="49"/>
        <v>#N/A</v>
      </c>
      <c r="BM35" s="1314" t="e">
        <f t="shared" si="50"/>
        <v>#N/A</v>
      </c>
      <c r="BN35" s="1314" t="e">
        <f t="shared" si="51"/>
        <v>#N/A</v>
      </c>
      <c r="BO35" s="1314" t="e">
        <f t="shared" si="52"/>
        <v>#N/A</v>
      </c>
      <c r="BP35" s="1314" t="e">
        <f t="shared" si="53"/>
        <v>#N/A</v>
      </c>
      <c r="BQ35" s="1314" t="e">
        <f t="shared" si="54"/>
        <v>#N/A</v>
      </c>
      <c r="BR35" s="1314" t="e">
        <f t="shared" si="55"/>
        <v>#N/A</v>
      </c>
      <c r="BS35" s="1314" t="e">
        <f t="shared" si="56"/>
        <v>#N/A</v>
      </c>
      <c r="BT35" s="1314" t="e">
        <f t="shared" si="57"/>
        <v>#N/A</v>
      </c>
      <c r="BU35" s="1314" t="e">
        <f t="shared" si="58"/>
        <v>#N/A</v>
      </c>
      <c r="BV35" s="1314" t="e">
        <f t="shared" si="59"/>
        <v>#N/A</v>
      </c>
      <c r="BW35" s="1314" t="e">
        <f t="shared" si="60"/>
        <v>#N/A</v>
      </c>
      <c r="BX35" s="1314" t="e">
        <f t="shared" si="61"/>
        <v>#N/A</v>
      </c>
      <c r="BY35" s="1314" t="e">
        <f t="shared" si="62"/>
        <v>#N/A</v>
      </c>
      <c r="BZ35" s="1315"/>
      <c r="CA35" s="1315"/>
      <c r="CB35" s="1315"/>
      <c r="CC35" s="1315"/>
      <c r="CD35" s="1315"/>
      <c r="CE35" s="1315"/>
      <c r="CF35" s="1315"/>
      <c r="CG35" s="1315"/>
      <c r="CH35" s="1315"/>
      <c r="CI35" s="1315"/>
      <c r="CJ35" s="1315"/>
      <c r="CK35" s="1315"/>
      <c r="CL35" s="1315"/>
      <c r="CM35" s="1315"/>
      <c r="CN35" s="1315"/>
      <c r="CO35" s="1315"/>
      <c r="CP35" s="1315"/>
      <c r="CQ35" s="1315"/>
      <c r="CR35" s="1315"/>
      <c r="CS35" s="1315"/>
      <c r="CT35" s="1315"/>
      <c r="CU35" s="1315"/>
      <c r="CV35" s="1315"/>
      <c r="CW35" s="1315"/>
      <c r="CX35" s="1315"/>
      <c r="CY35" s="1315"/>
      <c r="CZ35" s="1315"/>
      <c r="DA35" s="1315"/>
      <c r="DB35" s="1315"/>
      <c r="DC35" s="1315"/>
      <c r="DD35" s="1315"/>
      <c r="DE35" s="1315"/>
      <c r="DF35" s="1315"/>
      <c r="DG35" s="1315"/>
      <c r="DH35" s="1315"/>
      <c r="DI35" s="1315"/>
      <c r="DJ35" s="1315"/>
      <c r="DK35" s="1315"/>
      <c r="DL35" s="1315"/>
      <c r="DM35" s="1315"/>
      <c r="DN35" s="1315"/>
      <c r="DO35" s="1315"/>
      <c r="DP35" s="1315"/>
      <c r="DQ35" s="1315"/>
      <c r="DR35" s="1315"/>
      <c r="DS35" s="1315"/>
      <c r="DT35" s="1315"/>
      <c r="DU35" s="1315"/>
      <c r="DV35" s="1315"/>
      <c r="DW35" s="1315"/>
      <c r="DX35" s="1315"/>
      <c r="DY35" s="1315"/>
      <c r="DZ35" s="1315"/>
      <c r="EA35" s="1315"/>
      <c r="EB35" s="1315"/>
      <c r="EC35" s="1315"/>
      <c r="ED35" s="1315"/>
      <c r="EE35" s="1315"/>
      <c r="EF35" s="1315"/>
      <c r="EG35" s="1315"/>
      <c r="EH35" s="1315"/>
      <c r="EI35" s="1315"/>
      <c r="EJ35" s="1315"/>
      <c r="EK35" s="1315"/>
      <c r="EL35" s="1315"/>
      <c r="EM35" s="1315"/>
      <c r="EN35" s="1315"/>
      <c r="EO35" s="1315"/>
      <c r="EP35" s="1315"/>
      <c r="EQ35" s="1315"/>
      <c r="ER35" s="1315"/>
      <c r="ES35" s="1315"/>
      <c r="ET35" s="1315"/>
      <c r="EU35" s="1315"/>
      <c r="EV35" s="1315"/>
      <c r="EW35" s="1315"/>
      <c r="EX35" s="1315"/>
      <c r="EY35" s="1315"/>
      <c r="EZ35" s="1315"/>
      <c r="FA35" s="1315"/>
      <c r="FB35" s="1315"/>
      <c r="FC35" s="1315"/>
      <c r="FD35" s="1315"/>
      <c r="FE35" s="1315"/>
      <c r="FF35" s="1315"/>
      <c r="FG35" s="1315"/>
      <c r="FH35" s="1315"/>
      <c r="FI35" s="1315"/>
      <c r="FJ35" s="1315"/>
      <c r="FK35" s="1315"/>
      <c r="FL35" s="1315"/>
      <c r="FM35" s="1315"/>
      <c r="FN35" s="1315"/>
      <c r="FO35" s="1315"/>
      <c r="FP35" s="1315"/>
      <c r="FQ35" s="1315"/>
      <c r="FR35" s="1315"/>
      <c r="FS35" s="1315"/>
      <c r="FT35" s="1315"/>
      <c r="FU35" s="1315"/>
      <c r="FV35" s="1315"/>
      <c r="FW35" s="1315"/>
      <c r="FX35" s="1315"/>
      <c r="FY35" s="1315"/>
      <c r="FZ35" s="1315"/>
      <c r="GA35" s="1315"/>
      <c r="GB35" s="1315"/>
      <c r="GC35" s="1315"/>
      <c r="GD35" s="1315"/>
      <c r="GE35" s="1315"/>
      <c r="GF35" s="1315"/>
      <c r="GG35" s="1315"/>
      <c r="GH35" s="1315"/>
      <c r="GI35" s="1315"/>
      <c r="GJ35" s="1315"/>
      <c r="GK35" s="1315"/>
      <c r="GL35" s="1315"/>
      <c r="GM35" s="1315"/>
      <c r="GN35" s="1315"/>
      <c r="GO35" s="1315"/>
      <c r="GP35" s="1315"/>
      <c r="GQ35" s="1315"/>
      <c r="GR35" s="1315"/>
      <c r="GS35" s="1315"/>
      <c r="GT35" s="1315"/>
      <c r="GU35" s="1315"/>
      <c r="GV35" s="1315"/>
      <c r="GW35" s="1315"/>
      <c r="GX35" s="1315"/>
      <c r="GY35" s="1315"/>
      <c r="GZ35" s="1315"/>
      <c r="HA35" s="1315"/>
      <c r="HB35" s="1315"/>
      <c r="HC35" s="1315"/>
      <c r="HD35" s="1315"/>
      <c r="HE35" s="1315"/>
      <c r="HF35" s="1315"/>
      <c r="HG35" s="1315"/>
      <c r="HH35" s="1315"/>
      <c r="HI35" s="1315"/>
      <c r="HJ35" s="1315"/>
      <c r="HK35" s="1315"/>
      <c r="HL35" s="1315"/>
      <c r="HM35" s="1315"/>
      <c r="HN35" s="1315"/>
      <c r="HO35" s="1315"/>
      <c r="HP35" s="1315"/>
      <c r="HQ35" s="1315"/>
      <c r="HR35" s="1315"/>
      <c r="HS35" s="1315"/>
      <c r="HT35" s="1315"/>
      <c r="HU35" s="1315"/>
      <c r="HV35" s="1315"/>
      <c r="HW35" s="1315"/>
      <c r="HX35" s="1315"/>
      <c r="HY35" s="1315"/>
      <c r="HZ35" s="1315"/>
      <c r="IA35" s="1315"/>
      <c r="IB35" s="1315"/>
      <c r="IC35" s="1315"/>
      <c r="ID35" s="1315"/>
      <c r="IE35" s="1315"/>
      <c r="IF35" s="1315"/>
      <c r="IG35" s="1315"/>
      <c r="IH35" s="1315"/>
      <c r="II35" s="1315"/>
      <c r="IJ35" s="1315"/>
    </row>
    <row r="36" spans="1:244" s="53" customFormat="1" ht="12" x14ac:dyDescent="0.2">
      <c r="A36" s="444">
        <f t="shared" si="65"/>
        <v>25</v>
      </c>
      <c r="B36" s="1312">
        <v>5213</v>
      </c>
      <c r="C36" s="1313">
        <f t="shared" si="66"/>
        <v>27500</v>
      </c>
      <c r="D36" s="1313">
        <f t="shared" si="9"/>
        <v>28600</v>
      </c>
      <c r="E36" s="1313">
        <f t="shared" ref="E36:Y36" si="80">ROUNDUP(D36*(E$10+1),0)</f>
        <v>29830</v>
      </c>
      <c r="F36" s="1313">
        <f t="shared" si="80"/>
        <v>30725</v>
      </c>
      <c r="G36" s="1313">
        <f t="shared" si="80"/>
        <v>31862</v>
      </c>
      <c r="H36" s="1313">
        <f t="shared" si="80"/>
        <v>33137</v>
      </c>
      <c r="I36" s="1313">
        <f t="shared" si="80"/>
        <v>34463</v>
      </c>
      <c r="J36" s="1314">
        <f t="shared" si="80"/>
        <v>35842</v>
      </c>
      <c r="K36" s="1314" t="e">
        <f t="shared" si="80"/>
        <v>#N/A</v>
      </c>
      <c r="L36" s="1314" t="e">
        <f t="shared" si="80"/>
        <v>#N/A</v>
      </c>
      <c r="M36" s="1314" t="e">
        <f t="shared" si="80"/>
        <v>#N/A</v>
      </c>
      <c r="N36" s="1314" t="e">
        <f t="shared" si="80"/>
        <v>#N/A</v>
      </c>
      <c r="O36" s="1314" t="e">
        <f t="shared" si="80"/>
        <v>#N/A</v>
      </c>
      <c r="P36" s="1314" t="e">
        <f t="shared" si="80"/>
        <v>#N/A</v>
      </c>
      <c r="Q36" s="1314" t="e">
        <f t="shared" si="80"/>
        <v>#N/A</v>
      </c>
      <c r="R36" s="1314" t="e">
        <f t="shared" si="80"/>
        <v>#N/A</v>
      </c>
      <c r="S36" s="1314" t="e">
        <f t="shared" si="80"/>
        <v>#N/A</v>
      </c>
      <c r="T36" s="1314" t="e">
        <f t="shared" si="80"/>
        <v>#N/A</v>
      </c>
      <c r="U36" s="1314" t="e">
        <f t="shared" si="80"/>
        <v>#N/A</v>
      </c>
      <c r="V36" s="1314" t="e">
        <f t="shared" si="80"/>
        <v>#N/A</v>
      </c>
      <c r="W36" s="1314" t="e">
        <f t="shared" si="80"/>
        <v>#N/A</v>
      </c>
      <c r="X36" s="1314" t="e">
        <f t="shared" si="80"/>
        <v>#N/A</v>
      </c>
      <c r="Y36" s="1314" t="e">
        <f t="shared" si="80"/>
        <v>#N/A</v>
      </c>
      <c r="Z36" s="1314" t="e">
        <f t="shared" si="11"/>
        <v>#N/A</v>
      </c>
      <c r="AA36" s="1314" t="e">
        <f t="shared" si="12"/>
        <v>#N/A</v>
      </c>
      <c r="AB36" s="1314" t="e">
        <f t="shared" si="13"/>
        <v>#N/A</v>
      </c>
      <c r="AC36" s="1314" t="e">
        <f t="shared" si="14"/>
        <v>#N/A</v>
      </c>
      <c r="AD36" s="1314" t="e">
        <f t="shared" si="15"/>
        <v>#N/A</v>
      </c>
      <c r="AE36" s="1314" t="e">
        <f t="shared" si="16"/>
        <v>#N/A</v>
      </c>
      <c r="AF36" s="1314" t="e">
        <f t="shared" si="17"/>
        <v>#N/A</v>
      </c>
      <c r="AG36" s="1314" t="e">
        <f t="shared" si="18"/>
        <v>#N/A</v>
      </c>
      <c r="AH36" s="1314" t="e">
        <f t="shared" si="19"/>
        <v>#N/A</v>
      </c>
      <c r="AI36" s="1314" t="e">
        <f t="shared" si="20"/>
        <v>#N/A</v>
      </c>
      <c r="AJ36" s="1314" t="e">
        <f t="shared" si="21"/>
        <v>#N/A</v>
      </c>
      <c r="AK36" s="1314" t="e">
        <f t="shared" si="22"/>
        <v>#N/A</v>
      </c>
      <c r="AL36" s="1314" t="e">
        <f t="shared" si="23"/>
        <v>#N/A</v>
      </c>
      <c r="AM36" s="1314" t="e">
        <f t="shared" si="24"/>
        <v>#N/A</v>
      </c>
      <c r="AN36" s="1314" t="e">
        <f t="shared" si="25"/>
        <v>#N/A</v>
      </c>
      <c r="AO36" s="1314" t="e">
        <f t="shared" si="26"/>
        <v>#N/A</v>
      </c>
      <c r="AP36" s="1314" t="e">
        <f t="shared" si="27"/>
        <v>#N/A</v>
      </c>
      <c r="AQ36" s="1314" t="e">
        <f t="shared" si="28"/>
        <v>#N/A</v>
      </c>
      <c r="AR36" s="1314" t="e">
        <f t="shared" si="29"/>
        <v>#N/A</v>
      </c>
      <c r="AS36" s="1314" t="e">
        <f t="shared" si="30"/>
        <v>#N/A</v>
      </c>
      <c r="AT36" s="1314" t="e">
        <f t="shared" si="31"/>
        <v>#N/A</v>
      </c>
      <c r="AU36" s="1314" t="e">
        <f t="shared" si="32"/>
        <v>#N/A</v>
      </c>
      <c r="AV36" s="1314" t="e">
        <f t="shared" si="33"/>
        <v>#N/A</v>
      </c>
      <c r="AW36" s="1314" t="e">
        <f t="shared" si="34"/>
        <v>#N/A</v>
      </c>
      <c r="AX36" s="1314" t="e">
        <f t="shared" si="35"/>
        <v>#N/A</v>
      </c>
      <c r="AY36" s="1314" t="e">
        <f t="shared" si="36"/>
        <v>#N/A</v>
      </c>
      <c r="AZ36" s="1314" t="e">
        <f t="shared" si="37"/>
        <v>#N/A</v>
      </c>
      <c r="BA36" s="1314" t="e">
        <f t="shared" si="38"/>
        <v>#N/A</v>
      </c>
      <c r="BB36" s="1314" t="e">
        <f t="shared" si="39"/>
        <v>#N/A</v>
      </c>
      <c r="BC36" s="1314" t="e">
        <f t="shared" si="40"/>
        <v>#N/A</v>
      </c>
      <c r="BD36" s="1314" t="e">
        <f t="shared" si="41"/>
        <v>#N/A</v>
      </c>
      <c r="BE36" s="1314" t="e">
        <f t="shared" si="42"/>
        <v>#N/A</v>
      </c>
      <c r="BF36" s="1314" t="e">
        <f t="shared" si="43"/>
        <v>#N/A</v>
      </c>
      <c r="BG36" s="1314" t="e">
        <f t="shared" si="44"/>
        <v>#N/A</v>
      </c>
      <c r="BH36" s="1314" t="e">
        <f t="shared" si="45"/>
        <v>#N/A</v>
      </c>
      <c r="BI36" s="1314" t="e">
        <f t="shared" si="46"/>
        <v>#N/A</v>
      </c>
      <c r="BJ36" s="1314" t="e">
        <f t="shared" si="47"/>
        <v>#N/A</v>
      </c>
      <c r="BK36" s="1314" t="e">
        <f t="shared" si="48"/>
        <v>#N/A</v>
      </c>
      <c r="BL36" s="1314" t="e">
        <f t="shared" si="49"/>
        <v>#N/A</v>
      </c>
      <c r="BM36" s="1314" t="e">
        <f t="shared" si="50"/>
        <v>#N/A</v>
      </c>
      <c r="BN36" s="1314" t="e">
        <f t="shared" si="51"/>
        <v>#N/A</v>
      </c>
      <c r="BO36" s="1314" t="e">
        <f t="shared" si="52"/>
        <v>#N/A</v>
      </c>
      <c r="BP36" s="1314" t="e">
        <f t="shared" si="53"/>
        <v>#N/A</v>
      </c>
      <c r="BQ36" s="1314" t="e">
        <f t="shared" si="54"/>
        <v>#N/A</v>
      </c>
      <c r="BR36" s="1314" t="e">
        <f t="shared" si="55"/>
        <v>#N/A</v>
      </c>
      <c r="BS36" s="1314" t="e">
        <f t="shared" si="56"/>
        <v>#N/A</v>
      </c>
      <c r="BT36" s="1314" t="e">
        <f t="shared" si="57"/>
        <v>#N/A</v>
      </c>
      <c r="BU36" s="1314" t="e">
        <f t="shared" si="58"/>
        <v>#N/A</v>
      </c>
      <c r="BV36" s="1314" t="e">
        <f t="shared" si="59"/>
        <v>#N/A</v>
      </c>
      <c r="BW36" s="1314" t="e">
        <f t="shared" si="60"/>
        <v>#N/A</v>
      </c>
      <c r="BX36" s="1314" t="e">
        <f t="shared" si="61"/>
        <v>#N/A</v>
      </c>
      <c r="BY36" s="1314" t="e">
        <f t="shared" si="62"/>
        <v>#N/A</v>
      </c>
      <c r="BZ36" s="1315"/>
      <c r="CA36" s="1315"/>
      <c r="CB36" s="1315"/>
      <c r="CC36" s="1315"/>
      <c r="CD36" s="1315"/>
      <c r="CE36" s="1315"/>
      <c r="CF36" s="1315"/>
      <c r="CG36" s="1315"/>
      <c r="CH36" s="1315"/>
      <c r="CI36" s="1315"/>
      <c r="CJ36" s="1315"/>
      <c r="CK36" s="1315"/>
      <c r="CL36" s="1315"/>
      <c r="CM36" s="1315"/>
      <c r="CN36" s="1315"/>
      <c r="CO36" s="1315"/>
      <c r="CP36" s="1315"/>
      <c r="CQ36" s="1315"/>
      <c r="CR36" s="1315"/>
      <c r="CS36" s="1315"/>
      <c r="CT36" s="1315"/>
      <c r="CU36" s="1315"/>
      <c r="CV36" s="1315"/>
      <c r="CW36" s="1315"/>
      <c r="CX36" s="1315"/>
      <c r="CY36" s="1315"/>
      <c r="CZ36" s="1315"/>
      <c r="DA36" s="1315"/>
      <c r="DB36" s="1315"/>
      <c r="DC36" s="1315"/>
      <c r="DD36" s="1315"/>
      <c r="DE36" s="1315"/>
      <c r="DF36" s="1315"/>
      <c r="DG36" s="1315"/>
      <c r="DH36" s="1315"/>
      <c r="DI36" s="1315"/>
      <c r="DJ36" s="1315"/>
      <c r="DK36" s="1315"/>
      <c r="DL36" s="1315"/>
      <c r="DM36" s="1315"/>
      <c r="DN36" s="1315"/>
      <c r="DO36" s="1315"/>
      <c r="DP36" s="1315"/>
      <c r="DQ36" s="1315"/>
      <c r="DR36" s="1315"/>
      <c r="DS36" s="1315"/>
      <c r="DT36" s="1315"/>
      <c r="DU36" s="1315"/>
      <c r="DV36" s="1315"/>
      <c r="DW36" s="1315"/>
      <c r="DX36" s="1315"/>
      <c r="DY36" s="1315"/>
      <c r="DZ36" s="1315"/>
      <c r="EA36" s="1315"/>
      <c r="EB36" s="1315"/>
      <c r="EC36" s="1315"/>
      <c r="ED36" s="1315"/>
      <c r="EE36" s="1315"/>
      <c r="EF36" s="1315"/>
      <c r="EG36" s="1315"/>
      <c r="EH36" s="1315"/>
      <c r="EI36" s="1315"/>
      <c r="EJ36" s="1315"/>
      <c r="EK36" s="1315"/>
      <c r="EL36" s="1315"/>
      <c r="EM36" s="1315"/>
      <c r="EN36" s="1315"/>
      <c r="EO36" s="1315"/>
      <c r="EP36" s="1315"/>
      <c r="EQ36" s="1315"/>
      <c r="ER36" s="1315"/>
      <c r="ES36" s="1315"/>
      <c r="ET36" s="1315"/>
      <c r="EU36" s="1315"/>
      <c r="EV36" s="1315"/>
      <c r="EW36" s="1315"/>
      <c r="EX36" s="1315"/>
      <c r="EY36" s="1315"/>
      <c r="EZ36" s="1315"/>
      <c r="FA36" s="1315"/>
      <c r="FB36" s="1315"/>
      <c r="FC36" s="1315"/>
      <c r="FD36" s="1315"/>
      <c r="FE36" s="1315"/>
      <c r="FF36" s="1315"/>
      <c r="FG36" s="1315"/>
      <c r="FH36" s="1315"/>
      <c r="FI36" s="1315"/>
      <c r="FJ36" s="1315"/>
      <c r="FK36" s="1315"/>
      <c r="FL36" s="1315"/>
      <c r="FM36" s="1315"/>
      <c r="FN36" s="1315"/>
      <c r="FO36" s="1315"/>
      <c r="FP36" s="1315"/>
      <c r="FQ36" s="1315"/>
      <c r="FR36" s="1315"/>
      <c r="FS36" s="1315"/>
      <c r="FT36" s="1315"/>
      <c r="FU36" s="1315"/>
      <c r="FV36" s="1315"/>
      <c r="FW36" s="1315"/>
      <c r="FX36" s="1315"/>
      <c r="FY36" s="1315"/>
      <c r="FZ36" s="1315"/>
      <c r="GA36" s="1315"/>
      <c r="GB36" s="1315"/>
      <c r="GC36" s="1315"/>
      <c r="GD36" s="1315"/>
      <c r="GE36" s="1315"/>
      <c r="GF36" s="1315"/>
      <c r="GG36" s="1315"/>
      <c r="GH36" s="1315"/>
      <c r="GI36" s="1315"/>
      <c r="GJ36" s="1315"/>
      <c r="GK36" s="1315"/>
      <c r="GL36" s="1315"/>
      <c r="GM36" s="1315"/>
      <c r="GN36" s="1315"/>
      <c r="GO36" s="1315"/>
      <c r="GP36" s="1315"/>
      <c r="GQ36" s="1315"/>
      <c r="GR36" s="1315"/>
      <c r="GS36" s="1315"/>
      <c r="GT36" s="1315"/>
      <c r="GU36" s="1315"/>
      <c r="GV36" s="1315"/>
      <c r="GW36" s="1315"/>
      <c r="GX36" s="1315"/>
      <c r="GY36" s="1315"/>
      <c r="GZ36" s="1315"/>
      <c r="HA36" s="1315"/>
      <c r="HB36" s="1315"/>
      <c r="HC36" s="1315"/>
      <c r="HD36" s="1315"/>
      <c r="HE36" s="1315"/>
      <c r="HF36" s="1315"/>
      <c r="HG36" s="1315"/>
      <c r="HH36" s="1315"/>
      <c r="HI36" s="1315"/>
      <c r="HJ36" s="1315"/>
      <c r="HK36" s="1315"/>
      <c r="HL36" s="1315"/>
      <c r="HM36" s="1315"/>
      <c r="HN36" s="1315"/>
      <c r="HO36" s="1315"/>
      <c r="HP36" s="1315"/>
      <c r="HQ36" s="1315"/>
      <c r="HR36" s="1315"/>
      <c r="HS36" s="1315"/>
      <c r="HT36" s="1315"/>
      <c r="HU36" s="1315"/>
      <c r="HV36" s="1315"/>
      <c r="HW36" s="1315"/>
      <c r="HX36" s="1315"/>
      <c r="HY36" s="1315"/>
      <c r="HZ36" s="1315"/>
      <c r="IA36" s="1315"/>
      <c r="IB36" s="1315"/>
      <c r="IC36" s="1315"/>
      <c r="ID36" s="1315"/>
      <c r="IE36" s="1315"/>
      <c r="IF36" s="1315"/>
      <c r="IG36" s="1315"/>
      <c r="IH36" s="1315"/>
      <c r="II36" s="1315"/>
      <c r="IJ36" s="1315"/>
    </row>
    <row r="37" spans="1:244" s="53" customFormat="1" ht="12" x14ac:dyDescent="0.2">
      <c r="A37" s="444">
        <f t="shared" si="65"/>
        <v>26</v>
      </c>
      <c r="B37" s="1312">
        <v>5323</v>
      </c>
      <c r="C37" s="1313">
        <f t="shared" si="66"/>
        <v>28000</v>
      </c>
      <c r="D37" s="1313">
        <f t="shared" si="9"/>
        <v>29120</v>
      </c>
      <c r="E37" s="1313">
        <f t="shared" ref="E37:Y37" si="81">ROUNDUP(D37*(E$10+1),0)</f>
        <v>30373</v>
      </c>
      <c r="F37" s="1313">
        <f t="shared" si="81"/>
        <v>31285</v>
      </c>
      <c r="G37" s="1313">
        <f t="shared" si="81"/>
        <v>32443</v>
      </c>
      <c r="H37" s="1313">
        <f t="shared" si="81"/>
        <v>33741</v>
      </c>
      <c r="I37" s="1313">
        <f t="shared" si="81"/>
        <v>35091</v>
      </c>
      <c r="J37" s="1314">
        <f t="shared" si="81"/>
        <v>36495</v>
      </c>
      <c r="K37" s="1314" t="e">
        <f t="shared" si="81"/>
        <v>#N/A</v>
      </c>
      <c r="L37" s="1314" t="e">
        <f t="shared" si="81"/>
        <v>#N/A</v>
      </c>
      <c r="M37" s="1314" t="e">
        <f t="shared" si="81"/>
        <v>#N/A</v>
      </c>
      <c r="N37" s="1314" t="e">
        <f t="shared" si="81"/>
        <v>#N/A</v>
      </c>
      <c r="O37" s="1314" t="e">
        <f t="shared" si="81"/>
        <v>#N/A</v>
      </c>
      <c r="P37" s="1314" t="e">
        <f t="shared" si="81"/>
        <v>#N/A</v>
      </c>
      <c r="Q37" s="1314" t="e">
        <f t="shared" si="81"/>
        <v>#N/A</v>
      </c>
      <c r="R37" s="1314" t="e">
        <f t="shared" si="81"/>
        <v>#N/A</v>
      </c>
      <c r="S37" s="1314" t="e">
        <f t="shared" si="81"/>
        <v>#N/A</v>
      </c>
      <c r="T37" s="1314" t="e">
        <f t="shared" si="81"/>
        <v>#N/A</v>
      </c>
      <c r="U37" s="1314" t="e">
        <f t="shared" si="81"/>
        <v>#N/A</v>
      </c>
      <c r="V37" s="1314" t="e">
        <f t="shared" si="81"/>
        <v>#N/A</v>
      </c>
      <c r="W37" s="1314" t="e">
        <f t="shared" si="81"/>
        <v>#N/A</v>
      </c>
      <c r="X37" s="1314" t="e">
        <f t="shared" si="81"/>
        <v>#N/A</v>
      </c>
      <c r="Y37" s="1314" t="e">
        <f t="shared" si="81"/>
        <v>#N/A</v>
      </c>
      <c r="Z37" s="1314" t="e">
        <f t="shared" si="11"/>
        <v>#N/A</v>
      </c>
      <c r="AA37" s="1314" t="e">
        <f t="shared" si="12"/>
        <v>#N/A</v>
      </c>
      <c r="AB37" s="1314" t="e">
        <f t="shared" si="13"/>
        <v>#N/A</v>
      </c>
      <c r="AC37" s="1314" t="e">
        <f t="shared" si="14"/>
        <v>#N/A</v>
      </c>
      <c r="AD37" s="1314" t="e">
        <f t="shared" si="15"/>
        <v>#N/A</v>
      </c>
      <c r="AE37" s="1314" t="e">
        <f t="shared" si="16"/>
        <v>#N/A</v>
      </c>
      <c r="AF37" s="1314" t="e">
        <f t="shared" si="17"/>
        <v>#N/A</v>
      </c>
      <c r="AG37" s="1314" t="e">
        <f t="shared" si="18"/>
        <v>#N/A</v>
      </c>
      <c r="AH37" s="1314" t="e">
        <f t="shared" si="19"/>
        <v>#N/A</v>
      </c>
      <c r="AI37" s="1314" t="e">
        <f t="shared" si="20"/>
        <v>#N/A</v>
      </c>
      <c r="AJ37" s="1314" t="e">
        <f t="shared" si="21"/>
        <v>#N/A</v>
      </c>
      <c r="AK37" s="1314" t="e">
        <f t="shared" si="22"/>
        <v>#N/A</v>
      </c>
      <c r="AL37" s="1314" t="e">
        <f t="shared" si="23"/>
        <v>#N/A</v>
      </c>
      <c r="AM37" s="1314" t="e">
        <f t="shared" si="24"/>
        <v>#N/A</v>
      </c>
      <c r="AN37" s="1314" t="e">
        <f t="shared" si="25"/>
        <v>#N/A</v>
      </c>
      <c r="AO37" s="1314" t="e">
        <f t="shared" si="26"/>
        <v>#N/A</v>
      </c>
      <c r="AP37" s="1314" t="e">
        <f t="shared" si="27"/>
        <v>#N/A</v>
      </c>
      <c r="AQ37" s="1314" t="e">
        <f t="shared" si="28"/>
        <v>#N/A</v>
      </c>
      <c r="AR37" s="1314" t="e">
        <f t="shared" si="29"/>
        <v>#N/A</v>
      </c>
      <c r="AS37" s="1314" t="e">
        <f t="shared" si="30"/>
        <v>#N/A</v>
      </c>
      <c r="AT37" s="1314" t="e">
        <f t="shared" si="31"/>
        <v>#N/A</v>
      </c>
      <c r="AU37" s="1314" t="e">
        <f t="shared" si="32"/>
        <v>#N/A</v>
      </c>
      <c r="AV37" s="1314" t="e">
        <f t="shared" si="33"/>
        <v>#N/A</v>
      </c>
      <c r="AW37" s="1314" t="e">
        <f t="shared" si="34"/>
        <v>#N/A</v>
      </c>
      <c r="AX37" s="1314" t="e">
        <f t="shared" si="35"/>
        <v>#N/A</v>
      </c>
      <c r="AY37" s="1314" t="e">
        <f t="shared" si="36"/>
        <v>#N/A</v>
      </c>
      <c r="AZ37" s="1314" t="e">
        <f t="shared" si="37"/>
        <v>#N/A</v>
      </c>
      <c r="BA37" s="1314" t="e">
        <f t="shared" si="38"/>
        <v>#N/A</v>
      </c>
      <c r="BB37" s="1314" t="e">
        <f t="shared" si="39"/>
        <v>#N/A</v>
      </c>
      <c r="BC37" s="1314" t="e">
        <f t="shared" si="40"/>
        <v>#N/A</v>
      </c>
      <c r="BD37" s="1314" t="e">
        <f t="shared" si="41"/>
        <v>#N/A</v>
      </c>
      <c r="BE37" s="1314" t="e">
        <f t="shared" si="42"/>
        <v>#N/A</v>
      </c>
      <c r="BF37" s="1314" t="e">
        <f t="shared" si="43"/>
        <v>#N/A</v>
      </c>
      <c r="BG37" s="1314" t="e">
        <f t="shared" si="44"/>
        <v>#N/A</v>
      </c>
      <c r="BH37" s="1314" t="e">
        <f t="shared" si="45"/>
        <v>#N/A</v>
      </c>
      <c r="BI37" s="1314" t="e">
        <f t="shared" si="46"/>
        <v>#N/A</v>
      </c>
      <c r="BJ37" s="1314" t="e">
        <f t="shared" si="47"/>
        <v>#N/A</v>
      </c>
      <c r="BK37" s="1314" t="e">
        <f t="shared" si="48"/>
        <v>#N/A</v>
      </c>
      <c r="BL37" s="1314" t="e">
        <f t="shared" si="49"/>
        <v>#N/A</v>
      </c>
      <c r="BM37" s="1314" t="e">
        <f t="shared" si="50"/>
        <v>#N/A</v>
      </c>
      <c r="BN37" s="1314" t="e">
        <f t="shared" si="51"/>
        <v>#N/A</v>
      </c>
      <c r="BO37" s="1314" t="e">
        <f t="shared" si="52"/>
        <v>#N/A</v>
      </c>
      <c r="BP37" s="1314" t="e">
        <f t="shared" si="53"/>
        <v>#N/A</v>
      </c>
      <c r="BQ37" s="1314" t="e">
        <f t="shared" si="54"/>
        <v>#N/A</v>
      </c>
      <c r="BR37" s="1314" t="e">
        <f t="shared" si="55"/>
        <v>#N/A</v>
      </c>
      <c r="BS37" s="1314" t="e">
        <f t="shared" si="56"/>
        <v>#N/A</v>
      </c>
      <c r="BT37" s="1314" t="e">
        <f t="shared" si="57"/>
        <v>#N/A</v>
      </c>
      <c r="BU37" s="1314" t="e">
        <f t="shared" si="58"/>
        <v>#N/A</v>
      </c>
      <c r="BV37" s="1314" t="e">
        <f t="shared" si="59"/>
        <v>#N/A</v>
      </c>
      <c r="BW37" s="1314" t="e">
        <f t="shared" si="60"/>
        <v>#N/A</v>
      </c>
      <c r="BX37" s="1314" t="e">
        <f t="shared" si="61"/>
        <v>#N/A</v>
      </c>
      <c r="BY37" s="1314" t="e">
        <f t="shared" si="62"/>
        <v>#N/A</v>
      </c>
      <c r="BZ37" s="1315"/>
      <c r="CA37" s="1315"/>
      <c r="CB37" s="1315"/>
      <c r="CC37" s="1315"/>
      <c r="CD37" s="1315"/>
      <c r="CE37" s="1315"/>
      <c r="CF37" s="1315"/>
      <c r="CG37" s="1315"/>
      <c r="CH37" s="1315"/>
      <c r="CI37" s="1315"/>
      <c r="CJ37" s="1315"/>
      <c r="CK37" s="1315"/>
      <c r="CL37" s="1315"/>
      <c r="CM37" s="1315"/>
      <c r="CN37" s="1315"/>
      <c r="CO37" s="1315"/>
      <c r="CP37" s="1315"/>
      <c r="CQ37" s="1315"/>
      <c r="CR37" s="1315"/>
      <c r="CS37" s="1315"/>
      <c r="CT37" s="1315"/>
      <c r="CU37" s="1315"/>
      <c r="CV37" s="1315"/>
      <c r="CW37" s="1315"/>
      <c r="CX37" s="1315"/>
      <c r="CY37" s="1315"/>
      <c r="CZ37" s="1315"/>
      <c r="DA37" s="1315"/>
      <c r="DB37" s="1315"/>
      <c r="DC37" s="1315"/>
      <c r="DD37" s="1315"/>
      <c r="DE37" s="1315"/>
      <c r="DF37" s="1315"/>
      <c r="DG37" s="1315"/>
      <c r="DH37" s="1315"/>
      <c r="DI37" s="1315"/>
      <c r="DJ37" s="1315"/>
      <c r="DK37" s="1315"/>
      <c r="DL37" s="1315"/>
      <c r="DM37" s="1315"/>
      <c r="DN37" s="1315"/>
      <c r="DO37" s="1315"/>
      <c r="DP37" s="1315"/>
      <c r="DQ37" s="1315"/>
      <c r="DR37" s="1315"/>
      <c r="DS37" s="1315"/>
      <c r="DT37" s="1315"/>
      <c r="DU37" s="1315"/>
      <c r="DV37" s="1315"/>
      <c r="DW37" s="1315"/>
      <c r="DX37" s="1315"/>
      <c r="DY37" s="1315"/>
      <c r="DZ37" s="1315"/>
      <c r="EA37" s="1315"/>
      <c r="EB37" s="1315"/>
      <c r="EC37" s="1315"/>
      <c r="ED37" s="1315"/>
      <c r="EE37" s="1315"/>
      <c r="EF37" s="1315"/>
      <c r="EG37" s="1315"/>
      <c r="EH37" s="1315"/>
      <c r="EI37" s="1315"/>
      <c r="EJ37" s="1315"/>
      <c r="EK37" s="1315"/>
      <c r="EL37" s="1315"/>
      <c r="EM37" s="1315"/>
      <c r="EN37" s="1315"/>
      <c r="EO37" s="1315"/>
      <c r="EP37" s="1315"/>
      <c r="EQ37" s="1315"/>
      <c r="ER37" s="1315"/>
      <c r="ES37" s="1315"/>
      <c r="ET37" s="1315"/>
      <c r="EU37" s="1315"/>
      <c r="EV37" s="1315"/>
      <c r="EW37" s="1315"/>
      <c r="EX37" s="1315"/>
      <c r="EY37" s="1315"/>
      <c r="EZ37" s="1315"/>
      <c r="FA37" s="1315"/>
      <c r="FB37" s="1315"/>
      <c r="FC37" s="1315"/>
      <c r="FD37" s="1315"/>
      <c r="FE37" s="1315"/>
      <c r="FF37" s="1315"/>
      <c r="FG37" s="1315"/>
      <c r="FH37" s="1315"/>
      <c r="FI37" s="1315"/>
      <c r="FJ37" s="1315"/>
      <c r="FK37" s="1315"/>
      <c r="FL37" s="1315"/>
      <c r="FM37" s="1315"/>
      <c r="FN37" s="1315"/>
      <c r="FO37" s="1315"/>
      <c r="FP37" s="1315"/>
      <c r="FQ37" s="1315"/>
      <c r="FR37" s="1315"/>
      <c r="FS37" s="1315"/>
      <c r="FT37" s="1315"/>
      <c r="FU37" s="1315"/>
      <c r="FV37" s="1315"/>
      <c r="FW37" s="1315"/>
      <c r="FX37" s="1315"/>
      <c r="FY37" s="1315"/>
      <c r="FZ37" s="1315"/>
      <c r="GA37" s="1315"/>
      <c r="GB37" s="1315"/>
      <c r="GC37" s="1315"/>
      <c r="GD37" s="1315"/>
      <c r="GE37" s="1315"/>
      <c r="GF37" s="1315"/>
      <c r="GG37" s="1315"/>
      <c r="GH37" s="1315"/>
      <c r="GI37" s="1315"/>
      <c r="GJ37" s="1315"/>
      <c r="GK37" s="1315"/>
      <c r="GL37" s="1315"/>
      <c r="GM37" s="1315"/>
      <c r="GN37" s="1315"/>
      <c r="GO37" s="1315"/>
      <c r="GP37" s="1315"/>
      <c r="GQ37" s="1315"/>
      <c r="GR37" s="1315"/>
      <c r="GS37" s="1315"/>
      <c r="GT37" s="1315"/>
      <c r="GU37" s="1315"/>
      <c r="GV37" s="1315"/>
      <c r="GW37" s="1315"/>
      <c r="GX37" s="1315"/>
      <c r="GY37" s="1315"/>
      <c r="GZ37" s="1315"/>
      <c r="HA37" s="1315"/>
      <c r="HB37" s="1315"/>
      <c r="HC37" s="1315"/>
      <c r="HD37" s="1315"/>
      <c r="HE37" s="1315"/>
      <c r="HF37" s="1315"/>
      <c r="HG37" s="1315"/>
      <c r="HH37" s="1315"/>
      <c r="HI37" s="1315"/>
      <c r="HJ37" s="1315"/>
      <c r="HK37" s="1315"/>
      <c r="HL37" s="1315"/>
      <c r="HM37" s="1315"/>
      <c r="HN37" s="1315"/>
      <c r="HO37" s="1315"/>
      <c r="HP37" s="1315"/>
      <c r="HQ37" s="1315"/>
      <c r="HR37" s="1315"/>
      <c r="HS37" s="1315"/>
      <c r="HT37" s="1315"/>
      <c r="HU37" s="1315"/>
      <c r="HV37" s="1315"/>
      <c r="HW37" s="1315"/>
      <c r="HX37" s="1315"/>
      <c r="HY37" s="1315"/>
      <c r="HZ37" s="1315"/>
      <c r="IA37" s="1315"/>
      <c r="IB37" s="1315"/>
      <c r="IC37" s="1315"/>
      <c r="ID37" s="1315"/>
      <c r="IE37" s="1315"/>
      <c r="IF37" s="1315"/>
      <c r="IG37" s="1315"/>
      <c r="IH37" s="1315"/>
      <c r="II37" s="1315"/>
      <c r="IJ37" s="1315"/>
    </row>
    <row r="38" spans="1:244" s="53" customFormat="1" ht="12" x14ac:dyDescent="0.2">
      <c r="A38" s="444">
        <f t="shared" si="65"/>
        <v>27</v>
      </c>
      <c r="B38" s="1312">
        <v>5436</v>
      </c>
      <c r="C38" s="1313">
        <f t="shared" si="66"/>
        <v>28500</v>
      </c>
      <c r="D38" s="1313">
        <f t="shared" si="9"/>
        <v>29640</v>
      </c>
      <c r="E38" s="1313">
        <f t="shared" ref="E38:Y38" si="82">ROUNDUP(D38*(E$10+1),0)</f>
        <v>30915</v>
      </c>
      <c r="F38" s="1313">
        <f t="shared" si="82"/>
        <v>31843</v>
      </c>
      <c r="G38" s="1313">
        <f t="shared" si="82"/>
        <v>33022</v>
      </c>
      <c r="H38" s="1313">
        <f t="shared" si="82"/>
        <v>34343</v>
      </c>
      <c r="I38" s="1313">
        <f t="shared" si="82"/>
        <v>35717</v>
      </c>
      <c r="J38" s="1314">
        <f t="shared" si="82"/>
        <v>37146</v>
      </c>
      <c r="K38" s="1314" t="e">
        <f t="shared" si="82"/>
        <v>#N/A</v>
      </c>
      <c r="L38" s="1314" t="e">
        <f t="shared" si="82"/>
        <v>#N/A</v>
      </c>
      <c r="M38" s="1314" t="e">
        <f t="shared" si="82"/>
        <v>#N/A</v>
      </c>
      <c r="N38" s="1314" t="e">
        <f t="shared" si="82"/>
        <v>#N/A</v>
      </c>
      <c r="O38" s="1314" t="e">
        <f t="shared" si="82"/>
        <v>#N/A</v>
      </c>
      <c r="P38" s="1314" t="e">
        <f t="shared" si="82"/>
        <v>#N/A</v>
      </c>
      <c r="Q38" s="1314" t="e">
        <f t="shared" si="82"/>
        <v>#N/A</v>
      </c>
      <c r="R38" s="1314" t="e">
        <f t="shared" si="82"/>
        <v>#N/A</v>
      </c>
      <c r="S38" s="1314" t="e">
        <f t="shared" si="82"/>
        <v>#N/A</v>
      </c>
      <c r="T38" s="1314" t="e">
        <f t="shared" si="82"/>
        <v>#N/A</v>
      </c>
      <c r="U38" s="1314" t="e">
        <f t="shared" si="82"/>
        <v>#N/A</v>
      </c>
      <c r="V38" s="1314" t="e">
        <f t="shared" si="82"/>
        <v>#N/A</v>
      </c>
      <c r="W38" s="1314" t="e">
        <f t="shared" si="82"/>
        <v>#N/A</v>
      </c>
      <c r="X38" s="1314" t="e">
        <f t="shared" si="82"/>
        <v>#N/A</v>
      </c>
      <c r="Y38" s="1314" t="e">
        <f t="shared" si="82"/>
        <v>#N/A</v>
      </c>
      <c r="Z38" s="1314" t="e">
        <f t="shared" si="11"/>
        <v>#N/A</v>
      </c>
      <c r="AA38" s="1314" t="e">
        <f t="shared" si="12"/>
        <v>#N/A</v>
      </c>
      <c r="AB38" s="1314" t="e">
        <f t="shared" si="13"/>
        <v>#N/A</v>
      </c>
      <c r="AC38" s="1314" t="e">
        <f t="shared" si="14"/>
        <v>#N/A</v>
      </c>
      <c r="AD38" s="1314" t="e">
        <f t="shared" si="15"/>
        <v>#N/A</v>
      </c>
      <c r="AE38" s="1314" t="e">
        <f t="shared" si="16"/>
        <v>#N/A</v>
      </c>
      <c r="AF38" s="1314" t="e">
        <f t="shared" si="17"/>
        <v>#N/A</v>
      </c>
      <c r="AG38" s="1314" t="e">
        <f t="shared" si="18"/>
        <v>#N/A</v>
      </c>
      <c r="AH38" s="1314" t="e">
        <f t="shared" si="19"/>
        <v>#N/A</v>
      </c>
      <c r="AI38" s="1314" t="e">
        <f t="shared" si="20"/>
        <v>#N/A</v>
      </c>
      <c r="AJ38" s="1314" t="e">
        <f t="shared" si="21"/>
        <v>#N/A</v>
      </c>
      <c r="AK38" s="1314" t="e">
        <f t="shared" si="22"/>
        <v>#N/A</v>
      </c>
      <c r="AL38" s="1314" t="e">
        <f t="shared" si="23"/>
        <v>#N/A</v>
      </c>
      <c r="AM38" s="1314" t="e">
        <f t="shared" si="24"/>
        <v>#N/A</v>
      </c>
      <c r="AN38" s="1314" t="e">
        <f t="shared" si="25"/>
        <v>#N/A</v>
      </c>
      <c r="AO38" s="1314" t="e">
        <f t="shared" si="26"/>
        <v>#N/A</v>
      </c>
      <c r="AP38" s="1314" t="e">
        <f t="shared" si="27"/>
        <v>#N/A</v>
      </c>
      <c r="AQ38" s="1314" t="e">
        <f t="shared" si="28"/>
        <v>#N/A</v>
      </c>
      <c r="AR38" s="1314" t="e">
        <f t="shared" si="29"/>
        <v>#N/A</v>
      </c>
      <c r="AS38" s="1314" t="e">
        <f t="shared" si="30"/>
        <v>#N/A</v>
      </c>
      <c r="AT38" s="1314" t="e">
        <f t="shared" si="31"/>
        <v>#N/A</v>
      </c>
      <c r="AU38" s="1314" t="e">
        <f t="shared" si="32"/>
        <v>#N/A</v>
      </c>
      <c r="AV38" s="1314" t="e">
        <f t="shared" si="33"/>
        <v>#N/A</v>
      </c>
      <c r="AW38" s="1314" t="e">
        <f t="shared" si="34"/>
        <v>#N/A</v>
      </c>
      <c r="AX38" s="1314" t="e">
        <f t="shared" si="35"/>
        <v>#N/A</v>
      </c>
      <c r="AY38" s="1314" t="e">
        <f t="shared" si="36"/>
        <v>#N/A</v>
      </c>
      <c r="AZ38" s="1314" t="e">
        <f t="shared" si="37"/>
        <v>#N/A</v>
      </c>
      <c r="BA38" s="1314" t="e">
        <f t="shared" si="38"/>
        <v>#N/A</v>
      </c>
      <c r="BB38" s="1314" t="e">
        <f t="shared" si="39"/>
        <v>#N/A</v>
      </c>
      <c r="BC38" s="1314" t="e">
        <f t="shared" si="40"/>
        <v>#N/A</v>
      </c>
      <c r="BD38" s="1314" t="e">
        <f t="shared" si="41"/>
        <v>#N/A</v>
      </c>
      <c r="BE38" s="1314" t="e">
        <f t="shared" si="42"/>
        <v>#N/A</v>
      </c>
      <c r="BF38" s="1314" t="e">
        <f t="shared" si="43"/>
        <v>#N/A</v>
      </c>
      <c r="BG38" s="1314" t="e">
        <f t="shared" si="44"/>
        <v>#N/A</v>
      </c>
      <c r="BH38" s="1314" t="e">
        <f t="shared" si="45"/>
        <v>#N/A</v>
      </c>
      <c r="BI38" s="1314" t="e">
        <f t="shared" si="46"/>
        <v>#N/A</v>
      </c>
      <c r="BJ38" s="1314" t="e">
        <f t="shared" si="47"/>
        <v>#N/A</v>
      </c>
      <c r="BK38" s="1314" t="e">
        <f t="shared" si="48"/>
        <v>#N/A</v>
      </c>
      <c r="BL38" s="1314" t="e">
        <f t="shared" si="49"/>
        <v>#N/A</v>
      </c>
      <c r="BM38" s="1314" t="e">
        <f t="shared" si="50"/>
        <v>#N/A</v>
      </c>
      <c r="BN38" s="1314" t="e">
        <f t="shared" si="51"/>
        <v>#N/A</v>
      </c>
      <c r="BO38" s="1314" t="e">
        <f t="shared" si="52"/>
        <v>#N/A</v>
      </c>
      <c r="BP38" s="1314" t="e">
        <f t="shared" si="53"/>
        <v>#N/A</v>
      </c>
      <c r="BQ38" s="1314" t="e">
        <f t="shared" si="54"/>
        <v>#N/A</v>
      </c>
      <c r="BR38" s="1314" t="e">
        <f t="shared" si="55"/>
        <v>#N/A</v>
      </c>
      <c r="BS38" s="1314" t="e">
        <f t="shared" si="56"/>
        <v>#N/A</v>
      </c>
      <c r="BT38" s="1314" t="e">
        <f t="shared" si="57"/>
        <v>#N/A</v>
      </c>
      <c r="BU38" s="1314" t="e">
        <f t="shared" si="58"/>
        <v>#N/A</v>
      </c>
      <c r="BV38" s="1314" t="e">
        <f t="shared" si="59"/>
        <v>#N/A</v>
      </c>
      <c r="BW38" s="1314" t="e">
        <f t="shared" si="60"/>
        <v>#N/A</v>
      </c>
      <c r="BX38" s="1314" t="e">
        <f t="shared" si="61"/>
        <v>#N/A</v>
      </c>
      <c r="BY38" s="1314" t="e">
        <f t="shared" si="62"/>
        <v>#N/A</v>
      </c>
      <c r="BZ38" s="1315"/>
      <c r="CA38" s="1315"/>
      <c r="CB38" s="1315"/>
      <c r="CC38" s="1315"/>
      <c r="CD38" s="1315"/>
      <c r="CE38" s="1315"/>
      <c r="CF38" s="1315"/>
      <c r="CG38" s="1315"/>
      <c r="CH38" s="1315"/>
      <c r="CI38" s="1315"/>
      <c r="CJ38" s="1315"/>
      <c r="CK38" s="1315"/>
      <c r="CL38" s="1315"/>
      <c r="CM38" s="1315"/>
      <c r="CN38" s="1315"/>
      <c r="CO38" s="1315"/>
      <c r="CP38" s="1315"/>
      <c r="CQ38" s="1315"/>
      <c r="CR38" s="1315"/>
      <c r="CS38" s="1315"/>
      <c r="CT38" s="1315"/>
      <c r="CU38" s="1315"/>
      <c r="CV38" s="1315"/>
      <c r="CW38" s="1315"/>
      <c r="CX38" s="1315"/>
      <c r="CY38" s="1315"/>
      <c r="CZ38" s="1315"/>
      <c r="DA38" s="1315"/>
      <c r="DB38" s="1315"/>
      <c r="DC38" s="1315"/>
      <c r="DD38" s="1315"/>
      <c r="DE38" s="1315"/>
      <c r="DF38" s="1315"/>
      <c r="DG38" s="1315"/>
      <c r="DH38" s="1315"/>
      <c r="DI38" s="1315"/>
      <c r="DJ38" s="1315"/>
      <c r="DK38" s="1315"/>
      <c r="DL38" s="1315"/>
      <c r="DM38" s="1315"/>
      <c r="DN38" s="1315"/>
      <c r="DO38" s="1315"/>
      <c r="DP38" s="1315"/>
      <c r="DQ38" s="1315"/>
      <c r="DR38" s="1315"/>
      <c r="DS38" s="1315"/>
      <c r="DT38" s="1315"/>
      <c r="DU38" s="1315"/>
      <c r="DV38" s="1315"/>
      <c r="DW38" s="1315"/>
      <c r="DX38" s="1315"/>
      <c r="DY38" s="1315"/>
      <c r="DZ38" s="1315"/>
      <c r="EA38" s="1315"/>
      <c r="EB38" s="1315"/>
      <c r="EC38" s="1315"/>
      <c r="ED38" s="1315"/>
      <c r="EE38" s="1315"/>
      <c r="EF38" s="1315"/>
      <c r="EG38" s="1315"/>
      <c r="EH38" s="1315"/>
      <c r="EI38" s="1315"/>
      <c r="EJ38" s="1315"/>
      <c r="EK38" s="1315"/>
      <c r="EL38" s="1315"/>
      <c r="EM38" s="1315"/>
      <c r="EN38" s="1315"/>
      <c r="EO38" s="1315"/>
      <c r="EP38" s="1315"/>
      <c r="EQ38" s="1315"/>
      <c r="ER38" s="1315"/>
      <c r="ES38" s="1315"/>
      <c r="ET38" s="1315"/>
      <c r="EU38" s="1315"/>
      <c r="EV38" s="1315"/>
      <c r="EW38" s="1315"/>
      <c r="EX38" s="1315"/>
      <c r="EY38" s="1315"/>
      <c r="EZ38" s="1315"/>
      <c r="FA38" s="1315"/>
      <c r="FB38" s="1315"/>
      <c r="FC38" s="1315"/>
      <c r="FD38" s="1315"/>
      <c r="FE38" s="1315"/>
      <c r="FF38" s="1315"/>
      <c r="FG38" s="1315"/>
      <c r="FH38" s="1315"/>
      <c r="FI38" s="1315"/>
      <c r="FJ38" s="1315"/>
      <c r="FK38" s="1315"/>
      <c r="FL38" s="1315"/>
      <c r="FM38" s="1315"/>
      <c r="FN38" s="1315"/>
      <c r="FO38" s="1315"/>
      <c r="FP38" s="1315"/>
      <c r="FQ38" s="1315"/>
      <c r="FR38" s="1315"/>
      <c r="FS38" s="1315"/>
      <c r="FT38" s="1315"/>
      <c r="FU38" s="1315"/>
      <c r="FV38" s="1315"/>
      <c r="FW38" s="1315"/>
      <c r="FX38" s="1315"/>
      <c r="FY38" s="1315"/>
      <c r="FZ38" s="1315"/>
      <c r="GA38" s="1315"/>
      <c r="GB38" s="1315"/>
      <c r="GC38" s="1315"/>
      <c r="GD38" s="1315"/>
      <c r="GE38" s="1315"/>
      <c r="GF38" s="1315"/>
      <c r="GG38" s="1315"/>
      <c r="GH38" s="1315"/>
      <c r="GI38" s="1315"/>
      <c r="GJ38" s="1315"/>
      <c r="GK38" s="1315"/>
      <c r="GL38" s="1315"/>
      <c r="GM38" s="1315"/>
      <c r="GN38" s="1315"/>
      <c r="GO38" s="1315"/>
      <c r="GP38" s="1315"/>
      <c r="GQ38" s="1315"/>
      <c r="GR38" s="1315"/>
      <c r="GS38" s="1315"/>
      <c r="GT38" s="1315"/>
      <c r="GU38" s="1315"/>
      <c r="GV38" s="1315"/>
      <c r="GW38" s="1315"/>
      <c r="GX38" s="1315"/>
      <c r="GY38" s="1315"/>
      <c r="GZ38" s="1315"/>
      <c r="HA38" s="1315"/>
      <c r="HB38" s="1315"/>
      <c r="HC38" s="1315"/>
      <c r="HD38" s="1315"/>
      <c r="HE38" s="1315"/>
      <c r="HF38" s="1315"/>
      <c r="HG38" s="1315"/>
      <c r="HH38" s="1315"/>
      <c r="HI38" s="1315"/>
      <c r="HJ38" s="1315"/>
      <c r="HK38" s="1315"/>
      <c r="HL38" s="1315"/>
      <c r="HM38" s="1315"/>
      <c r="HN38" s="1315"/>
      <c r="HO38" s="1315"/>
      <c r="HP38" s="1315"/>
      <c r="HQ38" s="1315"/>
      <c r="HR38" s="1315"/>
      <c r="HS38" s="1315"/>
      <c r="HT38" s="1315"/>
      <c r="HU38" s="1315"/>
      <c r="HV38" s="1315"/>
      <c r="HW38" s="1315"/>
      <c r="HX38" s="1315"/>
      <c r="HY38" s="1315"/>
      <c r="HZ38" s="1315"/>
      <c r="IA38" s="1315"/>
      <c r="IB38" s="1315"/>
      <c r="IC38" s="1315"/>
      <c r="ID38" s="1315"/>
      <c r="IE38" s="1315"/>
      <c r="IF38" s="1315"/>
      <c r="IG38" s="1315"/>
      <c r="IH38" s="1315"/>
      <c r="II38" s="1315"/>
      <c r="IJ38" s="1315"/>
    </row>
    <row r="39" spans="1:244" s="53" customFormat="1" ht="12" x14ac:dyDescent="0.2">
      <c r="A39" s="444">
        <f t="shared" si="65"/>
        <v>28</v>
      </c>
      <c r="B39" s="1312">
        <v>5546</v>
      </c>
      <c r="C39" s="1313">
        <f t="shared" si="66"/>
        <v>29000</v>
      </c>
      <c r="D39" s="1313">
        <f t="shared" si="9"/>
        <v>30160</v>
      </c>
      <c r="E39" s="1313">
        <f t="shared" ref="E39:Y39" si="83">ROUNDUP(D39*(E$10+1),0)</f>
        <v>31457</v>
      </c>
      <c r="F39" s="1313">
        <f t="shared" si="83"/>
        <v>32401</v>
      </c>
      <c r="G39" s="1313">
        <f t="shared" si="83"/>
        <v>33600</v>
      </c>
      <c r="H39" s="1313">
        <f t="shared" si="83"/>
        <v>34944</v>
      </c>
      <c r="I39" s="1313">
        <f t="shared" si="83"/>
        <v>36342</v>
      </c>
      <c r="J39" s="1314">
        <f t="shared" si="83"/>
        <v>37796</v>
      </c>
      <c r="K39" s="1314" t="e">
        <f t="shared" si="83"/>
        <v>#N/A</v>
      </c>
      <c r="L39" s="1314" t="e">
        <f t="shared" si="83"/>
        <v>#N/A</v>
      </c>
      <c r="M39" s="1314" t="e">
        <f t="shared" si="83"/>
        <v>#N/A</v>
      </c>
      <c r="N39" s="1314" t="e">
        <f t="shared" si="83"/>
        <v>#N/A</v>
      </c>
      <c r="O39" s="1314" t="e">
        <f t="shared" si="83"/>
        <v>#N/A</v>
      </c>
      <c r="P39" s="1314" t="e">
        <f t="shared" si="83"/>
        <v>#N/A</v>
      </c>
      <c r="Q39" s="1314" t="e">
        <f t="shared" si="83"/>
        <v>#N/A</v>
      </c>
      <c r="R39" s="1314" t="e">
        <f t="shared" si="83"/>
        <v>#N/A</v>
      </c>
      <c r="S39" s="1314" t="e">
        <f t="shared" si="83"/>
        <v>#N/A</v>
      </c>
      <c r="T39" s="1314" t="e">
        <f t="shared" si="83"/>
        <v>#N/A</v>
      </c>
      <c r="U39" s="1314" t="e">
        <f t="shared" si="83"/>
        <v>#N/A</v>
      </c>
      <c r="V39" s="1314" t="e">
        <f t="shared" si="83"/>
        <v>#N/A</v>
      </c>
      <c r="W39" s="1314" t="e">
        <f t="shared" si="83"/>
        <v>#N/A</v>
      </c>
      <c r="X39" s="1314" t="e">
        <f t="shared" si="83"/>
        <v>#N/A</v>
      </c>
      <c r="Y39" s="1314" t="e">
        <f t="shared" si="83"/>
        <v>#N/A</v>
      </c>
      <c r="Z39" s="1314" t="e">
        <f t="shared" si="11"/>
        <v>#N/A</v>
      </c>
      <c r="AA39" s="1314" t="e">
        <f t="shared" si="12"/>
        <v>#N/A</v>
      </c>
      <c r="AB39" s="1314" t="e">
        <f t="shared" si="13"/>
        <v>#N/A</v>
      </c>
      <c r="AC39" s="1314" t="e">
        <f t="shared" si="14"/>
        <v>#N/A</v>
      </c>
      <c r="AD39" s="1314" t="e">
        <f t="shared" si="15"/>
        <v>#N/A</v>
      </c>
      <c r="AE39" s="1314" t="e">
        <f t="shared" si="16"/>
        <v>#N/A</v>
      </c>
      <c r="AF39" s="1314" t="e">
        <f t="shared" si="17"/>
        <v>#N/A</v>
      </c>
      <c r="AG39" s="1314" t="e">
        <f t="shared" si="18"/>
        <v>#N/A</v>
      </c>
      <c r="AH39" s="1314" t="e">
        <f t="shared" si="19"/>
        <v>#N/A</v>
      </c>
      <c r="AI39" s="1314" t="e">
        <f t="shared" si="20"/>
        <v>#N/A</v>
      </c>
      <c r="AJ39" s="1314" t="e">
        <f t="shared" si="21"/>
        <v>#N/A</v>
      </c>
      <c r="AK39" s="1314" t="e">
        <f t="shared" si="22"/>
        <v>#N/A</v>
      </c>
      <c r="AL39" s="1314" t="e">
        <f t="shared" si="23"/>
        <v>#N/A</v>
      </c>
      <c r="AM39" s="1314" t="e">
        <f t="shared" si="24"/>
        <v>#N/A</v>
      </c>
      <c r="AN39" s="1314" t="e">
        <f t="shared" si="25"/>
        <v>#N/A</v>
      </c>
      <c r="AO39" s="1314" t="e">
        <f t="shared" si="26"/>
        <v>#N/A</v>
      </c>
      <c r="AP39" s="1314" t="e">
        <f t="shared" si="27"/>
        <v>#N/A</v>
      </c>
      <c r="AQ39" s="1314" t="e">
        <f t="shared" si="28"/>
        <v>#N/A</v>
      </c>
      <c r="AR39" s="1314" t="e">
        <f t="shared" si="29"/>
        <v>#N/A</v>
      </c>
      <c r="AS39" s="1314" t="e">
        <f t="shared" si="30"/>
        <v>#N/A</v>
      </c>
      <c r="AT39" s="1314" t="e">
        <f t="shared" si="31"/>
        <v>#N/A</v>
      </c>
      <c r="AU39" s="1314" t="e">
        <f t="shared" si="32"/>
        <v>#N/A</v>
      </c>
      <c r="AV39" s="1314" t="e">
        <f t="shared" si="33"/>
        <v>#N/A</v>
      </c>
      <c r="AW39" s="1314" t="e">
        <f t="shared" si="34"/>
        <v>#N/A</v>
      </c>
      <c r="AX39" s="1314" t="e">
        <f t="shared" si="35"/>
        <v>#N/A</v>
      </c>
      <c r="AY39" s="1314" t="e">
        <f t="shared" si="36"/>
        <v>#N/A</v>
      </c>
      <c r="AZ39" s="1314" t="e">
        <f t="shared" si="37"/>
        <v>#N/A</v>
      </c>
      <c r="BA39" s="1314" t="e">
        <f t="shared" si="38"/>
        <v>#N/A</v>
      </c>
      <c r="BB39" s="1314" t="e">
        <f t="shared" si="39"/>
        <v>#N/A</v>
      </c>
      <c r="BC39" s="1314" t="e">
        <f t="shared" si="40"/>
        <v>#N/A</v>
      </c>
      <c r="BD39" s="1314" t="e">
        <f t="shared" si="41"/>
        <v>#N/A</v>
      </c>
      <c r="BE39" s="1314" t="e">
        <f t="shared" si="42"/>
        <v>#N/A</v>
      </c>
      <c r="BF39" s="1314" t="e">
        <f t="shared" si="43"/>
        <v>#N/A</v>
      </c>
      <c r="BG39" s="1314" t="e">
        <f t="shared" si="44"/>
        <v>#N/A</v>
      </c>
      <c r="BH39" s="1314" t="e">
        <f t="shared" si="45"/>
        <v>#N/A</v>
      </c>
      <c r="BI39" s="1314" t="e">
        <f t="shared" si="46"/>
        <v>#N/A</v>
      </c>
      <c r="BJ39" s="1314" t="e">
        <f t="shared" si="47"/>
        <v>#N/A</v>
      </c>
      <c r="BK39" s="1314" t="e">
        <f t="shared" si="48"/>
        <v>#N/A</v>
      </c>
      <c r="BL39" s="1314" t="e">
        <f t="shared" si="49"/>
        <v>#N/A</v>
      </c>
      <c r="BM39" s="1314" t="e">
        <f t="shared" si="50"/>
        <v>#N/A</v>
      </c>
      <c r="BN39" s="1314" t="e">
        <f t="shared" si="51"/>
        <v>#N/A</v>
      </c>
      <c r="BO39" s="1314" t="e">
        <f t="shared" si="52"/>
        <v>#N/A</v>
      </c>
      <c r="BP39" s="1314" t="e">
        <f t="shared" si="53"/>
        <v>#N/A</v>
      </c>
      <c r="BQ39" s="1314" t="e">
        <f t="shared" si="54"/>
        <v>#N/A</v>
      </c>
      <c r="BR39" s="1314" t="e">
        <f t="shared" si="55"/>
        <v>#N/A</v>
      </c>
      <c r="BS39" s="1314" t="e">
        <f t="shared" si="56"/>
        <v>#N/A</v>
      </c>
      <c r="BT39" s="1314" t="e">
        <f t="shared" si="57"/>
        <v>#N/A</v>
      </c>
      <c r="BU39" s="1314" t="e">
        <f t="shared" si="58"/>
        <v>#N/A</v>
      </c>
      <c r="BV39" s="1314" t="e">
        <f t="shared" si="59"/>
        <v>#N/A</v>
      </c>
      <c r="BW39" s="1314" t="e">
        <f t="shared" si="60"/>
        <v>#N/A</v>
      </c>
      <c r="BX39" s="1314" t="e">
        <f t="shared" si="61"/>
        <v>#N/A</v>
      </c>
      <c r="BY39" s="1314" t="e">
        <f t="shared" si="62"/>
        <v>#N/A</v>
      </c>
      <c r="BZ39" s="1315"/>
      <c r="CA39" s="1315"/>
      <c r="CB39" s="1315"/>
      <c r="CC39" s="1315"/>
      <c r="CD39" s="1315"/>
      <c r="CE39" s="1315"/>
      <c r="CF39" s="1315"/>
      <c r="CG39" s="1315"/>
      <c r="CH39" s="1315"/>
      <c r="CI39" s="1315"/>
      <c r="CJ39" s="1315"/>
      <c r="CK39" s="1315"/>
      <c r="CL39" s="1315"/>
      <c r="CM39" s="1315"/>
      <c r="CN39" s="1315"/>
      <c r="CO39" s="1315"/>
      <c r="CP39" s="1315"/>
      <c r="CQ39" s="1315"/>
      <c r="CR39" s="1315"/>
      <c r="CS39" s="1315"/>
      <c r="CT39" s="1315"/>
      <c r="CU39" s="1315"/>
      <c r="CV39" s="1315"/>
      <c r="CW39" s="1315"/>
      <c r="CX39" s="1315"/>
      <c r="CY39" s="1315"/>
      <c r="CZ39" s="1315"/>
      <c r="DA39" s="1315"/>
      <c r="DB39" s="1315"/>
      <c r="DC39" s="1315"/>
      <c r="DD39" s="1315"/>
      <c r="DE39" s="1315"/>
      <c r="DF39" s="1315"/>
      <c r="DG39" s="1315"/>
      <c r="DH39" s="1315"/>
      <c r="DI39" s="1315"/>
      <c r="DJ39" s="1315"/>
      <c r="DK39" s="1315"/>
      <c r="DL39" s="1315"/>
      <c r="DM39" s="1315"/>
      <c r="DN39" s="1315"/>
      <c r="DO39" s="1315"/>
      <c r="DP39" s="1315"/>
      <c r="DQ39" s="1315"/>
      <c r="DR39" s="1315"/>
      <c r="DS39" s="1315"/>
      <c r="DT39" s="1315"/>
      <c r="DU39" s="1315"/>
      <c r="DV39" s="1315"/>
      <c r="DW39" s="1315"/>
      <c r="DX39" s="1315"/>
      <c r="DY39" s="1315"/>
      <c r="DZ39" s="1315"/>
      <c r="EA39" s="1315"/>
      <c r="EB39" s="1315"/>
      <c r="EC39" s="1315"/>
      <c r="ED39" s="1315"/>
      <c r="EE39" s="1315"/>
      <c r="EF39" s="1315"/>
      <c r="EG39" s="1315"/>
      <c r="EH39" s="1315"/>
      <c r="EI39" s="1315"/>
      <c r="EJ39" s="1315"/>
      <c r="EK39" s="1315"/>
      <c r="EL39" s="1315"/>
      <c r="EM39" s="1315"/>
      <c r="EN39" s="1315"/>
      <c r="EO39" s="1315"/>
      <c r="EP39" s="1315"/>
      <c r="EQ39" s="1315"/>
      <c r="ER39" s="1315"/>
      <c r="ES39" s="1315"/>
      <c r="ET39" s="1315"/>
      <c r="EU39" s="1315"/>
      <c r="EV39" s="1315"/>
      <c r="EW39" s="1315"/>
      <c r="EX39" s="1315"/>
      <c r="EY39" s="1315"/>
      <c r="EZ39" s="1315"/>
      <c r="FA39" s="1315"/>
      <c r="FB39" s="1315"/>
      <c r="FC39" s="1315"/>
      <c r="FD39" s="1315"/>
      <c r="FE39" s="1315"/>
      <c r="FF39" s="1315"/>
      <c r="FG39" s="1315"/>
      <c r="FH39" s="1315"/>
      <c r="FI39" s="1315"/>
      <c r="FJ39" s="1315"/>
      <c r="FK39" s="1315"/>
      <c r="FL39" s="1315"/>
      <c r="FM39" s="1315"/>
      <c r="FN39" s="1315"/>
      <c r="FO39" s="1315"/>
      <c r="FP39" s="1315"/>
      <c r="FQ39" s="1315"/>
      <c r="FR39" s="1315"/>
      <c r="FS39" s="1315"/>
      <c r="FT39" s="1315"/>
      <c r="FU39" s="1315"/>
      <c r="FV39" s="1315"/>
      <c r="FW39" s="1315"/>
      <c r="FX39" s="1315"/>
      <c r="FY39" s="1315"/>
      <c r="FZ39" s="1315"/>
      <c r="GA39" s="1315"/>
      <c r="GB39" s="1315"/>
      <c r="GC39" s="1315"/>
      <c r="GD39" s="1315"/>
      <c r="GE39" s="1315"/>
      <c r="GF39" s="1315"/>
      <c r="GG39" s="1315"/>
      <c r="GH39" s="1315"/>
      <c r="GI39" s="1315"/>
      <c r="GJ39" s="1315"/>
      <c r="GK39" s="1315"/>
      <c r="GL39" s="1315"/>
      <c r="GM39" s="1315"/>
      <c r="GN39" s="1315"/>
      <c r="GO39" s="1315"/>
      <c r="GP39" s="1315"/>
      <c r="GQ39" s="1315"/>
      <c r="GR39" s="1315"/>
      <c r="GS39" s="1315"/>
      <c r="GT39" s="1315"/>
      <c r="GU39" s="1315"/>
      <c r="GV39" s="1315"/>
      <c r="GW39" s="1315"/>
      <c r="GX39" s="1315"/>
      <c r="GY39" s="1315"/>
      <c r="GZ39" s="1315"/>
      <c r="HA39" s="1315"/>
      <c r="HB39" s="1315"/>
      <c r="HC39" s="1315"/>
      <c r="HD39" s="1315"/>
      <c r="HE39" s="1315"/>
      <c r="HF39" s="1315"/>
      <c r="HG39" s="1315"/>
      <c r="HH39" s="1315"/>
      <c r="HI39" s="1315"/>
      <c r="HJ39" s="1315"/>
      <c r="HK39" s="1315"/>
      <c r="HL39" s="1315"/>
      <c r="HM39" s="1315"/>
      <c r="HN39" s="1315"/>
      <c r="HO39" s="1315"/>
      <c r="HP39" s="1315"/>
      <c r="HQ39" s="1315"/>
      <c r="HR39" s="1315"/>
      <c r="HS39" s="1315"/>
      <c r="HT39" s="1315"/>
      <c r="HU39" s="1315"/>
      <c r="HV39" s="1315"/>
      <c r="HW39" s="1315"/>
      <c r="HX39" s="1315"/>
      <c r="HY39" s="1315"/>
      <c r="HZ39" s="1315"/>
      <c r="IA39" s="1315"/>
      <c r="IB39" s="1315"/>
      <c r="IC39" s="1315"/>
      <c r="ID39" s="1315"/>
      <c r="IE39" s="1315"/>
      <c r="IF39" s="1315"/>
      <c r="IG39" s="1315"/>
      <c r="IH39" s="1315"/>
      <c r="II39" s="1315"/>
      <c r="IJ39" s="1315"/>
    </row>
    <row r="40" spans="1:244" s="53" customFormat="1" ht="12" x14ac:dyDescent="0.2">
      <c r="A40" s="444">
        <f t="shared" si="65"/>
        <v>29</v>
      </c>
      <c r="B40" s="1312">
        <v>5766</v>
      </c>
      <c r="C40" s="1313">
        <f t="shared" si="66"/>
        <v>29500</v>
      </c>
      <c r="D40" s="1313">
        <f t="shared" si="9"/>
        <v>30680</v>
      </c>
      <c r="E40" s="1313">
        <f t="shared" ref="E40:Y40" si="84">ROUNDUP(D40*(E$10+1),0)</f>
        <v>32000</v>
      </c>
      <c r="F40" s="1313">
        <f t="shared" si="84"/>
        <v>32960</v>
      </c>
      <c r="G40" s="1313">
        <f t="shared" si="84"/>
        <v>34180</v>
      </c>
      <c r="H40" s="1313">
        <f t="shared" si="84"/>
        <v>35548</v>
      </c>
      <c r="I40" s="1313">
        <f t="shared" si="84"/>
        <v>36970</v>
      </c>
      <c r="J40" s="1314">
        <f t="shared" si="84"/>
        <v>38449</v>
      </c>
      <c r="K40" s="1314" t="e">
        <f t="shared" si="84"/>
        <v>#N/A</v>
      </c>
      <c r="L40" s="1314" t="e">
        <f t="shared" si="84"/>
        <v>#N/A</v>
      </c>
      <c r="M40" s="1314" t="e">
        <f t="shared" si="84"/>
        <v>#N/A</v>
      </c>
      <c r="N40" s="1314" t="e">
        <f t="shared" si="84"/>
        <v>#N/A</v>
      </c>
      <c r="O40" s="1314" t="e">
        <f t="shared" si="84"/>
        <v>#N/A</v>
      </c>
      <c r="P40" s="1314" t="e">
        <f t="shared" si="84"/>
        <v>#N/A</v>
      </c>
      <c r="Q40" s="1314" t="e">
        <f t="shared" si="84"/>
        <v>#N/A</v>
      </c>
      <c r="R40" s="1314" t="e">
        <f t="shared" si="84"/>
        <v>#N/A</v>
      </c>
      <c r="S40" s="1314" t="e">
        <f t="shared" si="84"/>
        <v>#N/A</v>
      </c>
      <c r="T40" s="1314" t="e">
        <f t="shared" si="84"/>
        <v>#N/A</v>
      </c>
      <c r="U40" s="1314" t="e">
        <f t="shared" si="84"/>
        <v>#N/A</v>
      </c>
      <c r="V40" s="1314" t="e">
        <f t="shared" si="84"/>
        <v>#N/A</v>
      </c>
      <c r="W40" s="1314" t="e">
        <f t="shared" si="84"/>
        <v>#N/A</v>
      </c>
      <c r="X40" s="1314" t="e">
        <f t="shared" si="84"/>
        <v>#N/A</v>
      </c>
      <c r="Y40" s="1314" t="e">
        <f t="shared" si="84"/>
        <v>#N/A</v>
      </c>
      <c r="Z40" s="1314" t="e">
        <f t="shared" si="11"/>
        <v>#N/A</v>
      </c>
      <c r="AA40" s="1314" t="e">
        <f t="shared" si="12"/>
        <v>#N/A</v>
      </c>
      <c r="AB40" s="1314" t="e">
        <f t="shared" si="13"/>
        <v>#N/A</v>
      </c>
      <c r="AC40" s="1314" t="e">
        <f t="shared" si="14"/>
        <v>#N/A</v>
      </c>
      <c r="AD40" s="1314" t="e">
        <f t="shared" si="15"/>
        <v>#N/A</v>
      </c>
      <c r="AE40" s="1314" t="e">
        <f t="shared" si="16"/>
        <v>#N/A</v>
      </c>
      <c r="AF40" s="1314" t="e">
        <f t="shared" si="17"/>
        <v>#N/A</v>
      </c>
      <c r="AG40" s="1314" t="e">
        <f t="shared" si="18"/>
        <v>#N/A</v>
      </c>
      <c r="AH40" s="1314" t="e">
        <f t="shared" si="19"/>
        <v>#N/A</v>
      </c>
      <c r="AI40" s="1314" t="e">
        <f t="shared" si="20"/>
        <v>#N/A</v>
      </c>
      <c r="AJ40" s="1314" t="e">
        <f t="shared" si="21"/>
        <v>#N/A</v>
      </c>
      <c r="AK40" s="1314" t="e">
        <f t="shared" si="22"/>
        <v>#N/A</v>
      </c>
      <c r="AL40" s="1314" t="e">
        <f t="shared" si="23"/>
        <v>#N/A</v>
      </c>
      <c r="AM40" s="1314" t="e">
        <f t="shared" si="24"/>
        <v>#N/A</v>
      </c>
      <c r="AN40" s="1314" t="e">
        <f t="shared" si="25"/>
        <v>#N/A</v>
      </c>
      <c r="AO40" s="1314" t="e">
        <f t="shared" si="26"/>
        <v>#N/A</v>
      </c>
      <c r="AP40" s="1314" t="e">
        <f t="shared" si="27"/>
        <v>#N/A</v>
      </c>
      <c r="AQ40" s="1314" t="e">
        <f t="shared" si="28"/>
        <v>#N/A</v>
      </c>
      <c r="AR40" s="1314" t="e">
        <f t="shared" si="29"/>
        <v>#N/A</v>
      </c>
      <c r="AS40" s="1314" t="e">
        <f t="shared" si="30"/>
        <v>#N/A</v>
      </c>
      <c r="AT40" s="1314" t="e">
        <f t="shared" si="31"/>
        <v>#N/A</v>
      </c>
      <c r="AU40" s="1314" t="e">
        <f t="shared" si="32"/>
        <v>#N/A</v>
      </c>
      <c r="AV40" s="1314" t="e">
        <f t="shared" si="33"/>
        <v>#N/A</v>
      </c>
      <c r="AW40" s="1314" t="e">
        <f t="shared" si="34"/>
        <v>#N/A</v>
      </c>
      <c r="AX40" s="1314" t="e">
        <f t="shared" si="35"/>
        <v>#N/A</v>
      </c>
      <c r="AY40" s="1314" t="e">
        <f t="shared" si="36"/>
        <v>#N/A</v>
      </c>
      <c r="AZ40" s="1314" t="e">
        <f t="shared" si="37"/>
        <v>#N/A</v>
      </c>
      <c r="BA40" s="1314" t="e">
        <f t="shared" si="38"/>
        <v>#N/A</v>
      </c>
      <c r="BB40" s="1314" t="e">
        <f t="shared" si="39"/>
        <v>#N/A</v>
      </c>
      <c r="BC40" s="1314" t="e">
        <f t="shared" si="40"/>
        <v>#N/A</v>
      </c>
      <c r="BD40" s="1314" t="e">
        <f t="shared" si="41"/>
        <v>#N/A</v>
      </c>
      <c r="BE40" s="1314" t="e">
        <f t="shared" si="42"/>
        <v>#N/A</v>
      </c>
      <c r="BF40" s="1314" t="e">
        <f t="shared" si="43"/>
        <v>#N/A</v>
      </c>
      <c r="BG40" s="1314" t="e">
        <f t="shared" si="44"/>
        <v>#N/A</v>
      </c>
      <c r="BH40" s="1314" t="e">
        <f t="shared" si="45"/>
        <v>#N/A</v>
      </c>
      <c r="BI40" s="1314" t="e">
        <f t="shared" si="46"/>
        <v>#N/A</v>
      </c>
      <c r="BJ40" s="1314" t="e">
        <f t="shared" si="47"/>
        <v>#N/A</v>
      </c>
      <c r="BK40" s="1314" t="e">
        <f t="shared" si="48"/>
        <v>#N/A</v>
      </c>
      <c r="BL40" s="1314" t="e">
        <f t="shared" si="49"/>
        <v>#N/A</v>
      </c>
      <c r="BM40" s="1314" t="e">
        <f t="shared" si="50"/>
        <v>#N/A</v>
      </c>
      <c r="BN40" s="1314" t="e">
        <f t="shared" si="51"/>
        <v>#N/A</v>
      </c>
      <c r="BO40" s="1314" t="e">
        <f t="shared" si="52"/>
        <v>#N/A</v>
      </c>
      <c r="BP40" s="1314" t="e">
        <f t="shared" si="53"/>
        <v>#N/A</v>
      </c>
      <c r="BQ40" s="1314" t="e">
        <f t="shared" si="54"/>
        <v>#N/A</v>
      </c>
      <c r="BR40" s="1314" t="e">
        <f t="shared" si="55"/>
        <v>#N/A</v>
      </c>
      <c r="BS40" s="1314" t="e">
        <f t="shared" si="56"/>
        <v>#N/A</v>
      </c>
      <c r="BT40" s="1314" t="e">
        <f t="shared" si="57"/>
        <v>#N/A</v>
      </c>
      <c r="BU40" s="1314" t="e">
        <f t="shared" si="58"/>
        <v>#N/A</v>
      </c>
      <c r="BV40" s="1314" t="e">
        <f t="shared" si="59"/>
        <v>#N/A</v>
      </c>
      <c r="BW40" s="1314" t="e">
        <f t="shared" si="60"/>
        <v>#N/A</v>
      </c>
      <c r="BX40" s="1314" t="e">
        <f t="shared" si="61"/>
        <v>#N/A</v>
      </c>
      <c r="BY40" s="1314" t="e">
        <f t="shared" si="62"/>
        <v>#N/A</v>
      </c>
      <c r="BZ40" s="1315"/>
      <c r="CA40" s="1315"/>
      <c r="CB40" s="1315"/>
      <c r="CC40" s="1315"/>
      <c r="CD40" s="1315"/>
      <c r="CE40" s="1315"/>
      <c r="CF40" s="1315"/>
      <c r="CG40" s="1315"/>
      <c r="CH40" s="1315"/>
      <c r="CI40" s="1315"/>
      <c r="CJ40" s="1315"/>
      <c r="CK40" s="1315"/>
      <c r="CL40" s="1315"/>
      <c r="CM40" s="1315"/>
      <c r="CN40" s="1315"/>
      <c r="CO40" s="1315"/>
      <c r="CP40" s="1315"/>
      <c r="CQ40" s="1315"/>
      <c r="CR40" s="1315"/>
      <c r="CS40" s="1315"/>
      <c r="CT40" s="1315"/>
      <c r="CU40" s="1315"/>
      <c r="CV40" s="1315"/>
      <c r="CW40" s="1315"/>
      <c r="CX40" s="1315"/>
      <c r="CY40" s="1315"/>
      <c r="CZ40" s="1315"/>
      <c r="DA40" s="1315"/>
      <c r="DB40" s="1315"/>
      <c r="DC40" s="1315"/>
      <c r="DD40" s="1315"/>
      <c r="DE40" s="1315"/>
      <c r="DF40" s="1315"/>
      <c r="DG40" s="1315"/>
      <c r="DH40" s="1315"/>
      <c r="DI40" s="1315"/>
      <c r="DJ40" s="1315"/>
      <c r="DK40" s="1315"/>
      <c r="DL40" s="1315"/>
      <c r="DM40" s="1315"/>
      <c r="DN40" s="1315"/>
      <c r="DO40" s="1315"/>
      <c r="DP40" s="1315"/>
      <c r="DQ40" s="1315"/>
      <c r="DR40" s="1315"/>
      <c r="DS40" s="1315"/>
      <c r="DT40" s="1315"/>
      <c r="DU40" s="1315"/>
      <c r="DV40" s="1315"/>
      <c r="DW40" s="1315"/>
      <c r="DX40" s="1315"/>
      <c r="DY40" s="1315"/>
      <c r="DZ40" s="1315"/>
      <c r="EA40" s="1315"/>
      <c r="EB40" s="1315"/>
      <c r="EC40" s="1315"/>
      <c r="ED40" s="1315"/>
      <c r="EE40" s="1315"/>
      <c r="EF40" s="1315"/>
      <c r="EG40" s="1315"/>
      <c r="EH40" s="1315"/>
      <c r="EI40" s="1315"/>
      <c r="EJ40" s="1315"/>
      <c r="EK40" s="1315"/>
      <c r="EL40" s="1315"/>
      <c r="EM40" s="1315"/>
      <c r="EN40" s="1315"/>
      <c r="EO40" s="1315"/>
      <c r="EP40" s="1315"/>
      <c r="EQ40" s="1315"/>
      <c r="ER40" s="1315"/>
      <c r="ES40" s="1315"/>
      <c r="ET40" s="1315"/>
      <c r="EU40" s="1315"/>
      <c r="EV40" s="1315"/>
      <c r="EW40" s="1315"/>
      <c r="EX40" s="1315"/>
      <c r="EY40" s="1315"/>
      <c r="EZ40" s="1315"/>
      <c r="FA40" s="1315"/>
      <c r="FB40" s="1315"/>
      <c r="FC40" s="1315"/>
      <c r="FD40" s="1315"/>
      <c r="FE40" s="1315"/>
      <c r="FF40" s="1315"/>
      <c r="FG40" s="1315"/>
      <c r="FH40" s="1315"/>
      <c r="FI40" s="1315"/>
      <c r="FJ40" s="1315"/>
      <c r="FK40" s="1315"/>
      <c r="FL40" s="1315"/>
      <c r="FM40" s="1315"/>
      <c r="FN40" s="1315"/>
      <c r="FO40" s="1315"/>
      <c r="FP40" s="1315"/>
      <c r="FQ40" s="1315"/>
      <c r="FR40" s="1315"/>
      <c r="FS40" s="1315"/>
      <c r="FT40" s="1315"/>
      <c r="FU40" s="1315"/>
      <c r="FV40" s="1315"/>
      <c r="FW40" s="1315"/>
      <c r="FX40" s="1315"/>
      <c r="FY40" s="1315"/>
      <c r="FZ40" s="1315"/>
      <c r="GA40" s="1315"/>
      <c r="GB40" s="1315"/>
      <c r="GC40" s="1315"/>
      <c r="GD40" s="1315"/>
      <c r="GE40" s="1315"/>
      <c r="GF40" s="1315"/>
      <c r="GG40" s="1315"/>
      <c r="GH40" s="1315"/>
      <c r="GI40" s="1315"/>
      <c r="GJ40" s="1315"/>
      <c r="GK40" s="1315"/>
      <c r="GL40" s="1315"/>
      <c r="GM40" s="1315"/>
      <c r="GN40" s="1315"/>
      <c r="GO40" s="1315"/>
      <c r="GP40" s="1315"/>
      <c r="GQ40" s="1315"/>
      <c r="GR40" s="1315"/>
      <c r="GS40" s="1315"/>
      <c r="GT40" s="1315"/>
      <c r="GU40" s="1315"/>
      <c r="GV40" s="1315"/>
      <c r="GW40" s="1315"/>
      <c r="GX40" s="1315"/>
      <c r="GY40" s="1315"/>
      <c r="GZ40" s="1315"/>
      <c r="HA40" s="1315"/>
      <c r="HB40" s="1315"/>
      <c r="HC40" s="1315"/>
      <c r="HD40" s="1315"/>
      <c r="HE40" s="1315"/>
      <c r="HF40" s="1315"/>
      <c r="HG40" s="1315"/>
      <c r="HH40" s="1315"/>
      <c r="HI40" s="1315"/>
      <c r="HJ40" s="1315"/>
      <c r="HK40" s="1315"/>
      <c r="HL40" s="1315"/>
      <c r="HM40" s="1315"/>
      <c r="HN40" s="1315"/>
      <c r="HO40" s="1315"/>
      <c r="HP40" s="1315"/>
      <c r="HQ40" s="1315"/>
      <c r="HR40" s="1315"/>
      <c r="HS40" s="1315"/>
      <c r="HT40" s="1315"/>
      <c r="HU40" s="1315"/>
      <c r="HV40" s="1315"/>
      <c r="HW40" s="1315"/>
      <c r="HX40" s="1315"/>
      <c r="HY40" s="1315"/>
      <c r="HZ40" s="1315"/>
      <c r="IA40" s="1315"/>
      <c r="IB40" s="1315"/>
      <c r="IC40" s="1315"/>
      <c r="ID40" s="1315"/>
      <c r="IE40" s="1315"/>
      <c r="IF40" s="1315"/>
      <c r="IG40" s="1315"/>
      <c r="IH40" s="1315"/>
      <c r="II40" s="1315"/>
      <c r="IJ40" s="1315"/>
    </row>
    <row r="41" spans="1:244" s="53" customFormat="1" ht="12" x14ac:dyDescent="0.2">
      <c r="A41" s="444">
        <f t="shared" si="65"/>
        <v>30</v>
      </c>
      <c r="B41" s="1312">
        <v>5989</v>
      </c>
      <c r="C41" s="1313">
        <f t="shared" si="66"/>
        <v>30000</v>
      </c>
      <c r="D41" s="1313">
        <f t="shared" si="9"/>
        <v>31200</v>
      </c>
      <c r="E41" s="1313">
        <f t="shared" ref="E41:Y41" si="85">ROUNDUP(D41*(E$10+1),0)</f>
        <v>32542</v>
      </c>
      <c r="F41" s="1313">
        <f t="shared" si="85"/>
        <v>33519</v>
      </c>
      <c r="G41" s="1313">
        <f t="shared" si="85"/>
        <v>34760</v>
      </c>
      <c r="H41" s="1313">
        <f t="shared" si="85"/>
        <v>36151</v>
      </c>
      <c r="I41" s="1313">
        <f t="shared" si="85"/>
        <v>37598</v>
      </c>
      <c r="J41" s="1314">
        <f t="shared" si="85"/>
        <v>39102</v>
      </c>
      <c r="K41" s="1314" t="e">
        <f t="shared" si="85"/>
        <v>#N/A</v>
      </c>
      <c r="L41" s="1314" t="e">
        <f t="shared" si="85"/>
        <v>#N/A</v>
      </c>
      <c r="M41" s="1314" t="e">
        <f t="shared" si="85"/>
        <v>#N/A</v>
      </c>
      <c r="N41" s="1314" t="e">
        <f t="shared" si="85"/>
        <v>#N/A</v>
      </c>
      <c r="O41" s="1314" t="e">
        <f t="shared" si="85"/>
        <v>#N/A</v>
      </c>
      <c r="P41" s="1314" t="e">
        <f t="shared" si="85"/>
        <v>#N/A</v>
      </c>
      <c r="Q41" s="1314" t="e">
        <f t="shared" si="85"/>
        <v>#N/A</v>
      </c>
      <c r="R41" s="1314" t="e">
        <f t="shared" si="85"/>
        <v>#N/A</v>
      </c>
      <c r="S41" s="1314" t="e">
        <f t="shared" si="85"/>
        <v>#N/A</v>
      </c>
      <c r="T41" s="1314" t="e">
        <f t="shared" si="85"/>
        <v>#N/A</v>
      </c>
      <c r="U41" s="1314" t="e">
        <f t="shared" si="85"/>
        <v>#N/A</v>
      </c>
      <c r="V41" s="1314" t="e">
        <f t="shared" si="85"/>
        <v>#N/A</v>
      </c>
      <c r="W41" s="1314" t="e">
        <f t="shared" si="85"/>
        <v>#N/A</v>
      </c>
      <c r="X41" s="1314" t="e">
        <f t="shared" si="85"/>
        <v>#N/A</v>
      </c>
      <c r="Y41" s="1314" t="e">
        <f t="shared" si="85"/>
        <v>#N/A</v>
      </c>
      <c r="Z41" s="1314" t="e">
        <f t="shared" si="11"/>
        <v>#N/A</v>
      </c>
      <c r="AA41" s="1314" t="e">
        <f t="shared" si="12"/>
        <v>#N/A</v>
      </c>
      <c r="AB41" s="1314" t="e">
        <f t="shared" si="13"/>
        <v>#N/A</v>
      </c>
      <c r="AC41" s="1314" t="e">
        <f t="shared" si="14"/>
        <v>#N/A</v>
      </c>
      <c r="AD41" s="1314" t="e">
        <f t="shared" si="15"/>
        <v>#N/A</v>
      </c>
      <c r="AE41" s="1314" t="e">
        <f t="shared" si="16"/>
        <v>#N/A</v>
      </c>
      <c r="AF41" s="1314" t="e">
        <f t="shared" si="17"/>
        <v>#N/A</v>
      </c>
      <c r="AG41" s="1314" t="e">
        <f t="shared" si="18"/>
        <v>#N/A</v>
      </c>
      <c r="AH41" s="1314" t="e">
        <f t="shared" si="19"/>
        <v>#N/A</v>
      </c>
      <c r="AI41" s="1314" t="e">
        <f t="shared" si="20"/>
        <v>#N/A</v>
      </c>
      <c r="AJ41" s="1314" t="e">
        <f t="shared" si="21"/>
        <v>#N/A</v>
      </c>
      <c r="AK41" s="1314" t="e">
        <f t="shared" si="22"/>
        <v>#N/A</v>
      </c>
      <c r="AL41" s="1314" t="e">
        <f t="shared" si="23"/>
        <v>#N/A</v>
      </c>
      <c r="AM41" s="1314" t="e">
        <f t="shared" si="24"/>
        <v>#N/A</v>
      </c>
      <c r="AN41" s="1314" t="e">
        <f t="shared" si="25"/>
        <v>#N/A</v>
      </c>
      <c r="AO41" s="1314" t="e">
        <f t="shared" si="26"/>
        <v>#N/A</v>
      </c>
      <c r="AP41" s="1314" t="e">
        <f t="shared" si="27"/>
        <v>#N/A</v>
      </c>
      <c r="AQ41" s="1314" t="e">
        <f t="shared" si="28"/>
        <v>#N/A</v>
      </c>
      <c r="AR41" s="1314" t="e">
        <f t="shared" si="29"/>
        <v>#N/A</v>
      </c>
      <c r="AS41" s="1314" t="e">
        <f t="shared" si="30"/>
        <v>#N/A</v>
      </c>
      <c r="AT41" s="1314" t="e">
        <f t="shared" si="31"/>
        <v>#N/A</v>
      </c>
      <c r="AU41" s="1314" t="e">
        <f t="shared" si="32"/>
        <v>#N/A</v>
      </c>
      <c r="AV41" s="1314" t="e">
        <f t="shared" si="33"/>
        <v>#N/A</v>
      </c>
      <c r="AW41" s="1314" t="e">
        <f t="shared" si="34"/>
        <v>#N/A</v>
      </c>
      <c r="AX41" s="1314" t="e">
        <f t="shared" si="35"/>
        <v>#N/A</v>
      </c>
      <c r="AY41" s="1314" t="e">
        <f t="shared" si="36"/>
        <v>#N/A</v>
      </c>
      <c r="AZ41" s="1314" t="e">
        <f t="shared" si="37"/>
        <v>#N/A</v>
      </c>
      <c r="BA41" s="1314" t="e">
        <f t="shared" si="38"/>
        <v>#N/A</v>
      </c>
      <c r="BB41" s="1314" t="e">
        <f t="shared" si="39"/>
        <v>#N/A</v>
      </c>
      <c r="BC41" s="1314" t="e">
        <f t="shared" si="40"/>
        <v>#N/A</v>
      </c>
      <c r="BD41" s="1314" t="e">
        <f t="shared" si="41"/>
        <v>#N/A</v>
      </c>
      <c r="BE41" s="1314" t="e">
        <f t="shared" si="42"/>
        <v>#N/A</v>
      </c>
      <c r="BF41" s="1314" t="e">
        <f t="shared" si="43"/>
        <v>#N/A</v>
      </c>
      <c r="BG41" s="1314" t="e">
        <f t="shared" si="44"/>
        <v>#N/A</v>
      </c>
      <c r="BH41" s="1314" t="e">
        <f t="shared" si="45"/>
        <v>#N/A</v>
      </c>
      <c r="BI41" s="1314" t="e">
        <f t="shared" si="46"/>
        <v>#N/A</v>
      </c>
      <c r="BJ41" s="1314" t="e">
        <f t="shared" si="47"/>
        <v>#N/A</v>
      </c>
      <c r="BK41" s="1314" t="e">
        <f t="shared" si="48"/>
        <v>#N/A</v>
      </c>
      <c r="BL41" s="1314" t="e">
        <f t="shared" si="49"/>
        <v>#N/A</v>
      </c>
      <c r="BM41" s="1314" t="e">
        <f t="shared" si="50"/>
        <v>#N/A</v>
      </c>
      <c r="BN41" s="1314" t="e">
        <f t="shared" si="51"/>
        <v>#N/A</v>
      </c>
      <c r="BO41" s="1314" t="e">
        <f t="shared" si="52"/>
        <v>#N/A</v>
      </c>
      <c r="BP41" s="1314" t="e">
        <f t="shared" si="53"/>
        <v>#N/A</v>
      </c>
      <c r="BQ41" s="1314" t="e">
        <f t="shared" si="54"/>
        <v>#N/A</v>
      </c>
      <c r="BR41" s="1314" t="e">
        <f t="shared" si="55"/>
        <v>#N/A</v>
      </c>
      <c r="BS41" s="1314" t="e">
        <f t="shared" si="56"/>
        <v>#N/A</v>
      </c>
      <c r="BT41" s="1314" t="e">
        <f t="shared" si="57"/>
        <v>#N/A</v>
      </c>
      <c r="BU41" s="1314" t="e">
        <f t="shared" si="58"/>
        <v>#N/A</v>
      </c>
      <c r="BV41" s="1314" t="e">
        <f t="shared" si="59"/>
        <v>#N/A</v>
      </c>
      <c r="BW41" s="1314" t="e">
        <f t="shared" si="60"/>
        <v>#N/A</v>
      </c>
      <c r="BX41" s="1314" t="e">
        <f t="shared" si="61"/>
        <v>#N/A</v>
      </c>
      <c r="BY41" s="1314" t="e">
        <f t="shared" si="62"/>
        <v>#N/A</v>
      </c>
      <c r="BZ41" s="1315"/>
      <c r="CA41" s="1315"/>
      <c r="CB41" s="1315"/>
      <c r="CC41" s="1315"/>
      <c r="CD41" s="1315"/>
      <c r="CE41" s="1315"/>
      <c r="CF41" s="1315"/>
      <c r="CG41" s="1315"/>
      <c r="CH41" s="1315"/>
      <c r="CI41" s="1315"/>
      <c r="CJ41" s="1315"/>
      <c r="CK41" s="1315"/>
      <c r="CL41" s="1315"/>
      <c r="CM41" s="1315"/>
      <c r="CN41" s="1315"/>
      <c r="CO41" s="1315"/>
      <c r="CP41" s="1315"/>
      <c r="CQ41" s="1315"/>
      <c r="CR41" s="1315"/>
      <c r="CS41" s="1315"/>
      <c r="CT41" s="1315"/>
      <c r="CU41" s="1315"/>
      <c r="CV41" s="1315"/>
      <c r="CW41" s="1315"/>
      <c r="CX41" s="1315"/>
      <c r="CY41" s="1315"/>
      <c r="CZ41" s="1315"/>
      <c r="DA41" s="1315"/>
      <c r="DB41" s="1315"/>
      <c r="DC41" s="1315"/>
      <c r="DD41" s="1315"/>
      <c r="DE41" s="1315"/>
      <c r="DF41" s="1315"/>
      <c r="DG41" s="1315"/>
      <c r="DH41" s="1315"/>
      <c r="DI41" s="1315"/>
      <c r="DJ41" s="1315"/>
      <c r="DK41" s="1315"/>
      <c r="DL41" s="1315"/>
      <c r="DM41" s="1315"/>
      <c r="DN41" s="1315"/>
      <c r="DO41" s="1315"/>
      <c r="DP41" s="1315"/>
      <c r="DQ41" s="1315"/>
      <c r="DR41" s="1315"/>
      <c r="DS41" s="1315"/>
      <c r="DT41" s="1315"/>
      <c r="DU41" s="1315"/>
      <c r="DV41" s="1315"/>
      <c r="DW41" s="1315"/>
      <c r="DX41" s="1315"/>
      <c r="DY41" s="1315"/>
      <c r="DZ41" s="1315"/>
      <c r="EA41" s="1315"/>
      <c r="EB41" s="1315"/>
      <c r="EC41" s="1315"/>
      <c r="ED41" s="1315"/>
      <c r="EE41" s="1315"/>
      <c r="EF41" s="1315"/>
      <c r="EG41" s="1315"/>
      <c r="EH41" s="1315"/>
      <c r="EI41" s="1315"/>
      <c r="EJ41" s="1315"/>
      <c r="EK41" s="1315"/>
      <c r="EL41" s="1315"/>
      <c r="EM41" s="1315"/>
      <c r="EN41" s="1315"/>
      <c r="EO41" s="1315"/>
      <c r="EP41" s="1315"/>
      <c r="EQ41" s="1315"/>
      <c r="ER41" s="1315"/>
      <c r="ES41" s="1315"/>
      <c r="ET41" s="1315"/>
      <c r="EU41" s="1315"/>
      <c r="EV41" s="1315"/>
      <c r="EW41" s="1315"/>
      <c r="EX41" s="1315"/>
      <c r="EY41" s="1315"/>
      <c r="EZ41" s="1315"/>
      <c r="FA41" s="1315"/>
      <c r="FB41" s="1315"/>
      <c r="FC41" s="1315"/>
      <c r="FD41" s="1315"/>
      <c r="FE41" s="1315"/>
      <c r="FF41" s="1315"/>
      <c r="FG41" s="1315"/>
      <c r="FH41" s="1315"/>
      <c r="FI41" s="1315"/>
      <c r="FJ41" s="1315"/>
      <c r="FK41" s="1315"/>
      <c r="FL41" s="1315"/>
      <c r="FM41" s="1315"/>
      <c r="FN41" s="1315"/>
      <c r="FO41" s="1315"/>
      <c r="FP41" s="1315"/>
      <c r="FQ41" s="1315"/>
      <c r="FR41" s="1315"/>
      <c r="FS41" s="1315"/>
      <c r="FT41" s="1315"/>
      <c r="FU41" s="1315"/>
      <c r="FV41" s="1315"/>
      <c r="FW41" s="1315"/>
      <c r="FX41" s="1315"/>
      <c r="FY41" s="1315"/>
      <c r="FZ41" s="1315"/>
      <c r="GA41" s="1315"/>
      <c r="GB41" s="1315"/>
      <c r="GC41" s="1315"/>
      <c r="GD41" s="1315"/>
      <c r="GE41" s="1315"/>
      <c r="GF41" s="1315"/>
      <c r="GG41" s="1315"/>
      <c r="GH41" s="1315"/>
      <c r="GI41" s="1315"/>
      <c r="GJ41" s="1315"/>
      <c r="GK41" s="1315"/>
      <c r="GL41" s="1315"/>
      <c r="GM41" s="1315"/>
      <c r="GN41" s="1315"/>
      <c r="GO41" s="1315"/>
      <c r="GP41" s="1315"/>
      <c r="GQ41" s="1315"/>
      <c r="GR41" s="1315"/>
      <c r="GS41" s="1315"/>
      <c r="GT41" s="1315"/>
      <c r="GU41" s="1315"/>
      <c r="GV41" s="1315"/>
      <c r="GW41" s="1315"/>
      <c r="GX41" s="1315"/>
      <c r="GY41" s="1315"/>
      <c r="GZ41" s="1315"/>
      <c r="HA41" s="1315"/>
      <c r="HB41" s="1315"/>
      <c r="HC41" s="1315"/>
      <c r="HD41" s="1315"/>
      <c r="HE41" s="1315"/>
      <c r="HF41" s="1315"/>
      <c r="HG41" s="1315"/>
      <c r="HH41" s="1315"/>
      <c r="HI41" s="1315"/>
      <c r="HJ41" s="1315"/>
      <c r="HK41" s="1315"/>
      <c r="HL41" s="1315"/>
      <c r="HM41" s="1315"/>
      <c r="HN41" s="1315"/>
      <c r="HO41" s="1315"/>
      <c r="HP41" s="1315"/>
      <c r="HQ41" s="1315"/>
      <c r="HR41" s="1315"/>
      <c r="HS41" s="1315"/>
      <c r="HT41" s="1315"/>
      <c r="HU41" s="1315"/>
      <c r="HV41" s="1315"/>
      <c r="HW41" s="1315"/>
      <c r="HX41" s="1315"/>
      <c r="HY41" s="1315"/>
      <c r="HZ41" s="1315"/>
      <c r="IA41" s="1315"/>
      <c r="IB41" s="1315"/>
      <c r="IC41" s="1315"/>
      <c r="ID41" s="1315"/>
      <c r="IE41" s="1315"/>
      <c r="IF41" s="1315"/>
      <c r="IG41" s="1315"/>
      <c r="IH41" s="1315"/>
      <c r="II41" s="1315"/>
      <c r="IJ41" s="1315"/>
    </row>
    <row r="42" spans="1:244" s="53" customFormat="1" ht="12" x14ac:dyDescent="0.2">
      <c r="A42" s="444">
        <f t="shared" si="65"/>
        <v>31</v>
      </c>
      <c r="B42" s="1312">
        <v>6209</v>
      </c>
      <c r="C42" s="1313">
        <f t="shared" si="66"/>
        <v>30500</v>
      </c>
      <c r="D42" s="1313">
        <f t="shared" si="9"/>
        <v>31720</v>
      </c>
      <c r="E42" s="1313">
        <f t="shared" ref="E42:Y42" si="86">ROUNDUP(D42*(E$10+1),0)</f>
        <v>33084</v>
      </c>
      <c r="F42" s="1313">
        <f t="shared" si="86"/>
        <v>34077</v>
      </c>
      <c r="G42" s="1313">
        <f t="shared" si="86"/>
        <v>35338</v>
      </c>
      <c r="H42" s="1313">
        <f t="shared" si="86"/>
        <v>36752</v>
      </c>
      <c r="I42" s="1313">
        <f t="shared" si="86"/>
        <v>38223</v>
      </c>
      <c r="J42" s="1314">
        <f t="shared" si="86"/>
        <v>39752</v>
      </c>
      <c r="K42" s="1314" t="e">
        <f t="shared" si="86"/>
        <v>#N/A</v>
      </c>
      <c r="L42" s="1314" t="e">
        <f t="shared" si="86"/>
        <v>#N/A</v>
      </c>
      <c r="M42" s="1314" t="e">
        <f t="shared" si="86"/>
        <v>#N/A</v>
      </c>
      <c r="N42" s="1314" t="e">
        <f t="shared" si="86"/>
        <v>#N/A</v>
      </c>
      <c r="O42" s="1314" t="e">
        <f t="shared" si="86"/>
        <v>#N/A</v>
      </c>
      <c r="P42" s="1314" t="e">
        <f t="shared" si="86"/>
        <v>#N/A</v>
      </c>
      <c r="Q42" s="1314" t="e">
        <f t="shared" si="86"/>
        <v>#N/A</v>
      </c>
      <c r="R42" s="1314" t="e">
        <f t="shared" si="86"/>
        <v>#N/A</v>
      </c>
      <c r="S42" s="1314" t="e">
        <f t="shared" si="86"/>
        <v>#N/A</v>
      </c>
      <c r="T42" s="1314" t="e">
        <f t="shared" si="86"/>
        <v>#N/A</v>
      </c>
      <c r="U42" s="1314" t="e">
        <f t="shared" si="86"/>
        <v>#N/A</v>
      </c>
      <c r="V42" s="1314" t="e">
        <f t="shared" si="86"/>
        <v>#N/A</v>
      </c>
      <c r="W42" s="1314" t="e">
        <f t="shared" si="86"/>
        <v>#N/A</v>
      </c>
      <c r="X42" s="1314" t="e">
        <f t="shared" si="86"/>
        <v>#N/A</v>
      </c>
      <c r="Y42" s="1314" t="e">
        <f t="shared" si="86"/>
        <v>#N/A</v>
      </c>
      <c r="Z42" s="1314" t="e">
        <f t="shared" si="11"/>
        <v>#N/A</v>
      </c>
      <c r="AA42" s="1314" t="e">
        <f t="shared" si="12"/>
        <v>#N/A</v>
      </c>
      <c r="AB42" s="1314" t="e">
        <f t="shared" si="13"/>
        <v>#N/A</v>
      </c>
      <c r="AC42" s="1314" t="e">
        <f t="shared" si="14"/>
        <v>#N/A</v>
      </c>
      <c r="AD42" s="1314" t="e">
        <f t="shared" si="15"/>
        <v>#N/A</v>
      </c>
      <c r="AE42" s="1314" t="e">
        <f t="shared" si="16"/>
        <v>#N/A</v>
      </c>
      <c r="AF42" s="1314" t="e">
        <f t="shared" si="17"/>
        <v>#N/A</v>
      </c>
      <c r="AG42" s="1314" t="e">
        <f t="shared" si="18"/>
        <v>#N/A</v>
      </c>
      <c r="AH42" s="1314" t="e">
        <f t="shared" si="19"/>
        <v>#N/A</v>
      </c>
      <c r="AI42" s="1314" t="e">
        <f t="shared" si="20"/>
        <v>#N/A</v>
      </c>
      <c r="AJ42" s="1314" t="e">
        <f t="shared" si="21"/>
        <v>#N/A</v>
      </c>
      <c r="AK42" s="1314" t="e">
        <f t="shared" si="22"/>
        <v>#N/A</v>
      </c>
      <c r="AL42" s="1314" t="e">
        <f t="shared" si="23"/>
        <v>#N/A</v>
      </c>
      <c r="AM42" s="1314" t="e">
        <f t="shared" si="24"/>
        <v>#N/A</v>
      </c>
      <c r="AN42" s="1314" t="e">
        <f t="shared" si="25"/>
        <v>#N/A</v>
      </c>
      <c r="AO42" s="1314" t="e">
        <f t="shared" si="26"/>
        <v>#N/A</v>
      </c>
      <c r="AP42" s="1314" t="e">
        <f t="shared" si="27"/>
        <v>#N/A</v>
      </c>
      <c r="AQ42" s="1314" t="e">
        <f t="shared" si="28"/>
        <v>#N/A</v>
      </c>
      <c r="AR42" s="1314" t="e">
        <f t="shared" si="29"/>
        <v>#N/A</v>
      </c>
      <c r="AS42" s="1314" t="e">
        <f t="shared" si="30"/>
        <v>#N/A</v>
      </c>
      <c r="AT42" s="1314" t="e">
        <f t="shared" si="31"/>
        <v>#N/A</v>
      </c>
      <c r="AU42" s="1314" t="e">
        <f t="shared" si="32"/>
        <v>#N/A</v>
      </c>
      <c r="AV42" s="1314" t="e">
        <f t="shared" si="33"/>
        <v>#N/A</v>
      </c>
      <c r="AW42" s="1314" t="e">
        <f t="shared" si="34"/>
        <v>#N/A</v>
      </c>
      <c r="AX42" s="1314" t="e">
        <f t="shared" si="35"/>
        <v>#N/A</v>
      </c>
      <c r="AY42" s="1314" t="e">
        <f t="shared" si="36"/>
        <v>#N/A</v>
      </c>
      <c r="AZ42" s="1314" t="e">
        <f t="shared" si="37"/>
        <v>#N/A</v>
      </c>
      <c r="BA42" s="1314" t="e">
        <f t="shared" si="38"/>
        <v>#N/A</v>
      </c>
      <c r="BB42" s="1314" t="e">
        <f t="shared" si="39"/>
        <v>#N/A</v>
      </c>
      <c r="BC42" s="1314" t="e">
        <f t="shared" si="40"/>
        <v>#N/A</v>
      </c>
      <c r="BD42" s="1314" t="e">
        <f t="shared" si="41"/>
        <v>#N/A</v>
      </c>
      <c r="BE42" s="1314" t="e">
        <f t="shared" si="42"/>
        <v>#N/A</v>
      </c>
      <c r="BF42" s="1314" t="e">
        <f t="shared" si="43"/>
        <v>#N/A</v>
      </c>
      <c r="BG42" s="1314" t="e">
        <f t="shared" si="44"/>
        <v>#N/A</v>
      </c>
      <c r="BH42" s="1314" t="e">
        <f t="shared" si="45"/>
        <v>#N/A</v>
      </c>
      <c r="BI42" s="1314" t="e">
        <f t="shared" si="46"/>
        <v>#N/A</v>
      </c>
      <c r="BJ42" s="1314" t="e">
        <f t="shared" si="47"/>
        <v>#N/A</v>
      </c>
      <c r="BK42" s="1314" t="e">
        <f t="shared" si="48"/>
        <v>#N/A</v>
      </c>
      <c r="BL42" s="1314" t="e">
        <f t="shared" si="49"/>
        <v>#N/A</v>
      </c>
      <c r="BM42" s="1314" t="e">
        <f t="shared" si="50"/>
        <v>#N/A</v>
      </c>
      <c r="BN42" s="1314" t="e">
        <f t="shared" si="51"/>
        <v>#N/A</v>
      </c>
      <c r="BO42" s="1314" t="e">
        <f t="shared" si="52"/>
        <v>#N/A</v>
      </c>
      <c r="BP42" s="1314" t="e">
        <f t="shared" si="53"/>
        <v>#N/A</v>
      </c>
      <c r="BQ42" s="1314" t="e">
        <f t="shared" si="54"/>
        <v>#N/A</v>
      </c>
      <c r="BR42" s="1314" t="e">
        <f t="shared" si="55"/>
        <v>#N/A</v>
      </c>
      <c r="BS42" s="1314" t="e">
        <f t="shared" si="56"/>
        <v>#N/A</v>
      </c>
      <c r="BT42" s="1314" t="e">
        <f t="shared" si="57"/>
        <v>#N/A</v>
      </c>
      <c r="BU42" s="1314" t="e">
        <f t="shared" si="58"/>
        <v>#N/A</v>
      </c>
      <c r="BV42" s="1314" t="e">
        <f t="shared" si="59"/>
        <v>#N/A</v>
      </c>
      <c r="BW42" s="1314" t="e">
        <f t="shared" si="60"/>
        <v>#N/A</v>
      </c>
      <c r="BX42" s="1314" t="e">
        <f t="shared" si="61"/>
        <v>#N/A</v>
      </c>
      <c r="BY42" s="1314" t="e">
        <f t="shared" si="62"/>
        <v>#N/A</v>
      </c>
      <c r="BZ42" s="1315"/>
      <c r="CA42" s="1315"/>
      <c r="CB42" s="1315"/>
      <c r="CC42" s="1315"/>
      <c r="CD42" s="1315"/>
      <c r="CE42" s="1315"/>
      <c r="CF42" s="1315"/>
      <c r="CG42" s="1315"/>
      <c r="CH42" s="1315"/>
      <c r="CI42" s="1315"/>
      <c r="CJ42" s="1315"/>
      <c r="CK42" s="1315"/>
      <c r="CL42" s="1315"/>
      <c r="CM42" s="1315"/>
      <c r="CN42" s="1315"/>
      <c r="CO42" s="1315"/>
      <c r="CP42" s="1315"/>
      <c r="CQ42" s="1315"/>
      <c r="CR42" s="1315"/>
      <c r="CS42" s="1315"/>
      <c r="CT42" s="1315"/>
      <c r="CU42" s="1315"/>
      <c r="CV42" s="1315"/>
      <c r="CW42" s="1315"/>
      <c r="CX42" s="1315"/>
      <c r="CY42" s="1315"/>
      <c r="CZ42" s="1315"/>
      <c r="DA42" s="1315"/>
      <c r="DB42" s="1315"/>
      <c r="DC42" s="1315"/>
      <c r="DD42" s="1315"/>
      <c r="DE42" s="1315"/>
      <c r="DF42" s="1315"/>
      <c r="DG42" s="1315"/>
      <c r="DH42" s="1315"/>
      <c r="DI42" s="1315"/>
      <c r="DJ42" s="1315"/>
      <c r="DK42" s="1315"/>
      <c r="DL42" s="1315"/>
      <c r="DM42" s="1315"/>
      <c r="DN42" s="1315"/>
      <c r="DO42" s="1315"/>
      <c r="DP42" s="1315"/>
      <c r="DQ42" s="1315"/>
      <c r="DR42" s="1315"/>
      <c r="DS42" s="1315"/>
      <c r="DT42" s="1315"/>
      <c r="DU42" s="1315"/>
      <c r="DV42" s="1315"/>
      <c r="DW42" s="1315"/>
      <c r="DX42" s="1315"/>
      <c r="DY42" s="1315"/>
      <c r="DZ42" s="1315"/>
      <c r="EA42" s="1315"/>
      <c r="EB42" s="1315"/>
      <c r="EC42" s="1315"/>
      <c r="ED42" s="1315"/>
      <c r="EE42" s="1315"/>
      <c r="EF42" s="1315"/>
      <c r="EG42" s="1315"/>
      <c r="EH42" s="1315"/>
      <c r="EI42" s="1315"/>
      <c r="EJ42" s="1315"/>
      <c r="EK42" s="1315"/>
      <c r="EL42" s="1315"/>
      <c r="EM42" s="1315"/>
      <c r="EN42" s="1315"/>
      <c r="EO42" s="1315"/>
      <c r="EP42" s="1315"/>
      <c r="EQ42" s="1315"/>
      <c r="ER42" s="1315"/>
      <c r="ES42" s="1315"/>
      <c r="ET42" s="1315"/>
      <c r="EU42" s="1315"/>
      <c r="EV42" s="1315"/>
      <c r="EW42" s="1315"/>
      <c r="EX42" s="1315"/>
      <c r="EY42" s="1315"/>
      <c r="EZ42" s="1315"/>
      <c r="FA42" s="1315"/>
      <c r="FB42" s="1315"/>
      <c r="FC42" s="1315"/>
      <c r="FD42" s="1315"/>
      <c r="FE42" s="1315"/>
      <c r="FF42" s="1315"/>
      <c r="FG42" s="1315"/>
      <c r="FH42" s="1315"/>
      <c r="FI42" s="1315"/>
      <c r="FJ42" s="1315"/>
      <c r="FK42" s="1315"/>
      <c r="FL42" s="1315"/>
      <c r="FM42" s="1315"/>
      <c r="FN42" s="1315"/>
      <c r="FO42" s="1315"/>
      <c r="FP42" s="1315"/>
      <c r="FQ42" s="1315"/>
      <c r="FR42" s="1315"/>
      <c r="FS42" s="1315"/>
      <c r="FT42" s="1315"/>
      <c r="FU42" s="1315"/>
      <c r="FV42" s="1315"/>
      <c r="FW42" s="1315"/>
      <c r="FX42" s="1315"/>
      <c r="FY42" s="1315"/>
      <c r="FZ42" s="1315"/>
      <c r="GA42" s="1315"/>
      <c r="GB42" s="1315"/>
      <c r="GC42" s="1315"/>
      <c r="GD42" s="1315"/>
      <c r="GE42" s="1315"/>
      <c r="GF42" s="1315"/>
      <c r="GG42" s="1315"/>
      <c r="GH42" s="1315"/>
      <c r="GI42" s="1315"/>
      <c r="GJ42" s="1315"/>
      <c r="GK42" s="1315"/>
      <c r="GL42" s="1315"/>
      <c r="GM42" s="1315"/>
      <c r="GN42" s="1315"/>
      <c r="GO42" s="1315"/>
      <c r="GP42" s="1315"/>
      <c r="GQ42" s="1315"/>
      <c r="GR42" s="1315"/>
      <c r="GS42" s="1315"/>
      <c r="GT42" s="1315"/>
      <c r="GU42" s="1315"/>
      <c r="GV42" s="1315"/>
      <c r="GW42" s="1315"/>
      <c r="GX42" s="1315"/>
      <c r="GY42" s="1315"/>
      <c r="GZ42" s="1315"/>
      <c r="HA42" s="1315"/>
      <c r="HB42" s="1315"/>
      <c r="HC42" s="1315"/>
      <c r="HD42" s="1315"/>
      <c r="HE42" s="1315"/>
      <c r="HF42" s="1315"/>
      <c r="HG42" s="1315"/>
      <c r="HH42" s="1315"/>
      <c r="HI42" s="1315"/>
      <c r="HJ42" s="1315"/>
      <c r="HK42" s="1315"/>
      <c r="HL42" s="1315"/>
      <c r="HM42" s="1315"/>
      <c r="HN42" s="1315"/>
      <c r="HO42" s="1315"/>
      <c r="HP42" s="1315"/>
      <c r="HQ42" s="1315"/>
      <c r="HR42" s="1315"/>
      <c r="HS42" s="1315"/>
      <c r="HT42" s="1315"/>
      <c r="HU42" s="1315"/>
      <c r="HV42" s="1315"/>
      <c r="HW42" s="1315"/>
      <c r="HX42" s="1315"/>
      <c r="HY42" s="1315"/>
      <c r="HZ42" s="1315"/>
      <c r="IA42" s="1315"/>
      <c r="IB42" s="1315"/>
      <c r="IC42" s="1315"/>
      <c r="ID42" s="1315"/>
      <c r="IE42" s="1315"/>
      <c r="IF42" s="1315"/>
      <c r="IG42" s="1315"/>
      <c r="IH42" s="1315"/>
      <c r="II42" s="1315"/>
      <c r="IJ42" s="1315"/>
    </row>
    <row r="43" spans="1:244" s="53" customFormat="1" ht="12" x14ac:dyDescent="0.2">
      <c r="A43" s="444">
        <f t="shared" si="65"/>
        <v>32</v>
      </c>
      <c r="B43" s="1312">
        <v>6321</v>
      </c>
      <c r="C43" s="1313">
        <f t="shared" si="66"/>
        <v>31000</v>
      </c>
      <c r="D43" s="1313">
        <f t="shared" si="9"/>
        <v>32240</v>
      </c>
      <c r="E43" s="1313">
        <f t="shared" ref="E43:Y43" si="87">ROUNDUP(D43*(E$10+1),0)</f>
        <v>33627</v>
      </c>
      <c r="F43" s="1313">
        <f t="shared" si="87"/>
        <v>34636</v>
      </c>
      <c r="G43" s="1313">
        <f t="shared" si="87"/>
        <v>35918</v>
      </c>
      <c r="H43" s="1313">
        <f t="shared" si="87"/>
        <v>37355</v>
      </c>
      <c r="I43" s="1313">
        <f t="shared" si="87"/>
        <v>38850</v>
      </c>
      <c r="J43" s="1314">
        <f t="shared" si="87"/>
        <v>40404</v>
      </c>
      <c r="K43" s="1314" t="e">
        <f t="shared" si="87"/>
        <v>#N/A</v>
      </c>
      <c r="L43" s="1314" t="e">
        <f t="shared" si="87"/>
        <v>#N/A</v>
      </c>
      <c r="M43" s="1314" t="e">
        <f t="shared" si="87"/>
        <v>#N/A</v>
      </c>
      <c r="N43" s="1314" t="e">
        <f t="shared" si="87"/>
        <v>#N/A</v>
      </c>
      <c r="O43" s="1314" t="e">
        <f t="shared" si="87"/>
        <v>#N/A</v>
      </c>
      <c r="P43" s="1314" t="e">
        <f t="shared" si="87"/>
        <v>#N/A</v>
      </c>
      <c r="Q43" s="1314" t="e">
        <f t="shared" si="87"/>
        <v>#N/A</v>
      </c>
      <c r="R43" s="1314" t="e">
        <f t="shared" si="87"/>
        <v>#N/A</v>
      </c>
      <c r="S43" s="1314" t="e">
        <f t="shared" si="87"/>
        <v>#N/A</v>
      </c>
      <c r="T43" s="1314" t="e">
        <f t="shared" si="87"/>
        <v>#N/A</v>
      </c>
      <c r="U43" s="1314" t="e">
        <f t="shared" si="87"/>
        <v>#N/A</v>
      </c>
      <c r="V43" s="1314" t="e">
        <f t="shared" si="87"/>
        <v>#N/A</v>
      </c>
      <c r="W43" s="1314" t="e">
        <f t="shared" si="87"/>
        <v>#N/A</v>
      </c>
      <c r="X43" s="1314" t="e">
        <f t="shared" si="87"/>
        <v>#N/A</v>
      </c>
      <c r="Y43" s="1314" t="e">
        <f t="shared" si="87"/>
        <v>#N/A</v>
      </c>
      <c r="Z43" s="1314" t="e">
        <f t="shared" si="11"/>
        <v>#N/A</v>
      </c>
      <c r="AA43" s="1314" t="e">
        <f t="shared" si="12"/>
        <v>#N/A</v>
      </c>
      <c r="AB43" s="1314" t="e">
        <f t="shared" si="13"/>
        <v>#N/A</v>
      </c>
      <c r="AC43" s="1314" t="e">
        <f t="shared" si="14"/>
        <v>#N/A</v>
      </c>
      <c r="AD43" s="1314" t="e">
        <f t="shared" si="15"/>
        <v>#N/A</v>
      </c>
      <c r="AE43" s="1314" t="e">
        <f t="shared" si="16"/>
        <v>#N/A</v>
      </c>
      <c r="AF43" s="1314" t="e">
        <f t="shared" si="17"/>
        <v>#N/A</v>
      </c>
      <c r="AG43" s="1314" t="e">
        <f t="shared" si="18"/>
        <v>#N/A</v>
      </c>
      <c r="AH43" s="1314" t="e">
        <f t="shared" si="19"/>
        <v>#N/A</v>
      </c>
      <c r="AI43" s="1314" t="e">
        <f t="shared" si="20"/>
        <v>#N/A</v>
      </c>
      <c r="AJ43" s="1314" t="e">
        <f t="shared" si="21"/>
        <v>#N/A</v>
      </c>
      <c r="AK43" s="1314" t="e">
        <f t="shared" si="22"/>
        <v>#N/A</v>
      </c>
      <c r="AL43" s="1314" t="e">
        <f t="shared" si="23"/>
        <v>#N/A</v>
      </c>
      <c r="AM43" s="1314" t="e">
        <f t="shared" si="24"/>
        <v>#N/A</v>
      </c>
      <c r="AN43" s="1314" t="e">
        <f t="shared" si="25"/>
        <v>#N/A</v>
      </c>
      <c r="AO43" s="1314" t="e">
        <f t="shared" si="26"/>
        <v>#N/A</v>
      </c>
      <c r="AP43" s="1314" t="e">
        <f t="shared" si="27"/>
        <v>#N/A</v>
      </c>
      <c r="AQ43" s="1314" t="e">
        <f t="shared" si="28"/>
        <v>#N/A</v>
      </c>
      <c r="AR43" s="1314" t="e">
        <f t="shared" si="29"/>
        <v>#N/A</v>
      </c>
      <c r="AS43" s="1314" t="e">
        <f t="shared" si="30"/>
        <v>#N/A</v>
      </c>
      <c r="AT43" s="1314" t="e">
        <f t="shared" si="31"/>
        <v>#N/A</v>
      </c>
      <c r="AU43" s="1314" t="e">
        <f t="shared" si="32"/>
        <v>#N/A</v>
      </c>
      <c r="AV43" s="1314" t="e">
        <f t="shared" si="33"/>
        <v>#N/A</v>
      </c>
      <c r="AW43" s="1314" t="e">
        <f t="shared" si="34"/>
        <v>#N/A</v>
      </c>
      <c r="AX43" s="1314" t="e">
        <f t="shared" si="35"/>
        <v>#N/A</v>
      </c>
      <c r="AY43" s="1314" t="e">
        <f t="shared" si="36"/>
        <v>#N/A</v>
      </c>
      <c r="AZ43" s="1314" t="e">
        <f t="shared" si="37"/>
        <v>#N/A</v>
      </c>
      <c r="BA43" s="1314" t="e">
        <f t="shared" si="38"/>
        <v>#N/A</v>
      </c>
      <c r="BB43" s="1314" t="e">
        <f t="shared" si="39"/>
        <v>#N/A</v>
      </c>
      <c r="BC43" s="1314" t="e">
        <f t="shared" si="40"/>
        <v>#N/A</v>
      </c>
      <c r="BD43" s="1314" t="e">
        <f t="shared" si="41"/>
        <v>#N/A</v>
      </c>
      <c r="BE43" s="1314" t="e">
        <f t="shared" si="42"/>
        <v>#N/A</v>
      </c>
      <c r="BF43" s="1314" t="e">
        <f t="shared" si="43"/>
        <v>#N/A</v>
      </c>
      <c r="BG43" s="1314" t="e">
        <f t="shared" si="44"/>
        <v>#N/A</v>
      </c>
      <c r="BH43" s="1314" t="e">
        <f t="shared" si="45"/>
        <v>#N/A</v>
      </c>
      <c r="BI43" s="1314" t="e">
        <f t="shared" si="46"/>
        <v>#N/A</v>
      </c>
      <c r="BJ43" s="1314" t="e">
        <f t="shared" si="47"/>
        <v>#N/A</v>
      </c>
      <c r="BK43" s="1314" t="e">
        <f t="shared" si="48"/>
        <v>#N/A</v>
      </c>
      <c r="BL43" s="1314" t="e">
        <f t="shared" si="49"/>
        <v>#N/A</v>
      </c>
      <c r="BM43" s="1314" t="e">
        <f t="shared" si="50"/>
        <v>#N/A</v>
      </c>
      <c r="BN43" s="1314" t="e">
        <f t="shared" si="51"/>
        <v>#N/A</v>
      </c>
      <c r="BO43" s="1314" t="e">
        <f t="shared" si="52"/>
        <v>#N/A</v>
      </c>
      <c r="BP43" s="1314" t="e">
        <f t="shared" si="53"/>
        <v>#N/A</v>
      </c>
      <c r="BQ43" s="1314" t="e">
        <f t="shared" si="54"/>
        <v>#N/A</v>
      </c>
      <c r="BR43" s="1314" t="e">
        <f t="shared" si="55"/>
        <v>#N/A</v>
      </c>
      <c r="BS43" s="1314" t="e">
        <f t="shared" si="56"/>
        <v>#N/A</v>
      </c>
      <c r="BT43" s="1314" t="e">
        <f t="shared" si="57"/>
        <v>#N/A</v>
      </c>
      <c r="BU43" s="1314" t="e">
        <f t="shared" si="58"/>
        <v>#N/A</v>
      </c>
      <c r="BV43" s="1314" t="e">
        <f t="shared" si="59"/>
        <v>#N/A</v>
      </c>
      <c r="BW43" s="1314" t="e">
        <f t="shared" si="60"/>
        <v>#N/A</v>
      </c>
      <c r="BX43" s="1314" t="e">
        <f t="shared" si="61"/>
        <v>#N/A</v>
      </c>
      <c r="BY43" s="1314" t="e">
        <f t="shared" si="62"/>
        <v>#N/A</v>
      </c>
      <c r="BZ43" s="1315"/>
      <c r="CA43" s="1315"/>
      <c r="CB43" s="1315"/>
      <c r="CC43" s="1315"/>
      <c r="CD43" s="1315"/>
      <c r="CE43" s="1315"/>
      <c r="CF43" s="1315"/>
      <c r="CG43" s="1315"/>
      <c r="CH43" s="1315"/>
      <c r="CI43" s="1315"/>
      <c r="CJ43" s="1315"/>
      <c r="CK43" s="1315"/>
      <c r="CL43" s="1315"/>
      <c r="CM43" s="1315"/>
      <c r="CN43" s="1315"/>
      <c r="CO43" s="1315"/>
      <c r="CP43" s="1315"/>
      <c r="CQ43" s="1315"/>
      <c r="CR43" s="1315"/>
      <c r="CS43" s="1315"/>
      <c r="CT43" s="1315"/>
      <c r="CU43" s="1315"/>
      <c r="CV43" s="1315"/>
      <c r="CW43" s="1315"/>
      <c r="CX43" s="1315"/>
      <c r="CY43" s="1315"/>
      <c r="CZ43" s="1315"/>
      <c r="DA43" s="1315"/>
      <c r="DB43" s="1315"/>
      <c r="DC43" s="1315"/>
      <c r="DD43" s="1315"/>
      <c r="DE43" s="1315"/>
      <c r="DF43" s="1315"/>
      <c r="DG43" s="1315"/>
      <c r="DH43" s="1315"/>
      <c r="DI43" s="1315"/>
      <c r="DJ43" s="1315"/>
      <c r="DK43" s="1315"/>
      <c r="DL43" s="1315"/>
      <c r="DM43" s="1315"/>
      <c r="DN43" s="1315"/>
      <c r="DO43" s="1315"/>
      <c r="DP43" s="1315"/>
      <c r="DQ43" s="1315"/>
      <c r="DR43" s="1315"/>
      <c r="DS43" s="1315"/>
      <c r="DT43" s="1315"/>
      <c r="DU43" s="1315"/>
      <c r="DV43" s="1315"/>
      <c r="DW43" s="1315"/>
      <c r="DX43" s="1315"/>
      <c r="DY43" s="1315"/>
      <c r="DZ43" s="1315"/>
      <c r="EA43" s="1315"/>
      <c r="EB43" s="1315"/>
      <c r="EC43" s="1315"/>
      <c r="ED43" s="1315"/>
      <c r="EE43" s="1315"/>
      <c r="EF43" s="1315"/>
      <c r="EG43" s="1315"/>
      <c r="EH43" s="1315"/>
      <c r="EI43" s="1315"/>
      <c r="EJ43" s="1315"/>
      <c r="EK43" s="1315"/>
      <c r="EL43" s="1315"/>
      <c r="EM43" s="1315"/>
      <c r="EN43" s="1315"/>
      <c r="EO43" s="1315"/>
      <c r="EP43" s="1315"/>
      <c r="EQ43" s="1315"/>
      <c r="ER43" s="1315"/>
      <c r="ES43" s="1315"/>
      <c r="ET43" s="1315"/>
      <c r="EU43" s="1315"/>
      <c r="EV43" s="1315"/>
      <c r="EW43" s="1315"/>
      <c r="EX43" s="1315"/>
      <c r="EY43" s="1315"/>
      <c r="EZ43" s="1315"/>
      <c r="FA43" s="1315"/>
      <c r="FB43" s="1315"/>
      <c r="FC43" s="1315"/>
      <c r="FD43" s="1315"/>
      <c r="FE43" s="1315"/>
      <c r="FF43" s="1315"/>
      <c r="FG43" s="1315"/>
      <c r="FH43" s="1315"/>
      <c r="FI43" s="1315"/>
      <c r="FJ43" s="1315"/>
      <c r="FK43" s="1315"/>
      <c r="FL43" s="1315"/>
      <c r="FM43" s="1315"/>
      <c r="FN43" s="1315"/>
      <c r="FO43" s="1315"/>
      <c r="FP43" s="1315"/>
      <c r="FQ43" s="1315"/>
      <c r="FR43" s="1315"/>
      <c r="FS43" s="1315"/>
      <c r="FT43" s="1315"/>
      <c r="FU43" s="1315"/>
      <c r="FV43" s="1315"/>
      <c r="FW43" s="1315"/>
      <c r="FX43" s="1315"/>
      <c r="FY43" s="1315"/>
      <c r="FZ43" s="1315"/>
      <c r="GA43" s="1315"/>
      <c r="GB43" s="1315"/>
      <c r="GC43" s="1315"/>
      <c r="GD43" s="1315"/>
      <c r="GE43" s="1315"/>
      <c r="GF43" s="1315"/>
      <c r="GG43" s="1315"/>
      <c r="GH43" s="1315"/>
      <c r="GI43" s="1315"/>
      <c r="GJ43" s="1315"/>
      <c r="GK43" s="1315"/>
      <c r="GL43" s="1315"/>
      <c r="GM43" s="1315"/>
      <c r="GN43" s="1315"/>
      <c r="GO43" s="1315"/>
      <c r="GP43" s="1315"/>
      <c r="GQ43" s="1315"/>
      <c r="GR43" s="1315"/>
      <c r="GS43" s="1315"/>
      <c r="GT43" s="1315"/>
      <c r="GU43" s="1315"/>
      <c r="GV43" s="1315"/>
      <c r="GW43" s="1315"/>
      <c r="GX43" s="1315"/>
      <c r="GY43" s="1315"/>
      <c r="GZ43" s="1315"/>
      <c r="HA43" s="1315"/>
      <c r="HB43" s="1315"/>
      <c r="HC43" s="1315"/>
      <c r="HD43" s="1315"/>
      <c r="HE43" s="1315"/>
      <c r="HF43" s="1315"/>
      <c r="HG43" s="1315"/>
      <c r="HH43" s="1315"/>
      <c r="HI43" s="1315"/>
      <c r="HJ43" s="1315"/>
      <c r="HK43" s="1315"/>
      <c r="HL43" s="1315"/>
      <c r="HM43" s="1315"/>
      <c r="HN43" s="1315"/>
      <c r="HO43" s="1315"/>
      <c r="HP43" s="1315"/>
      <c r="HQ43" s="1315"/>
      <c r="HR43" s="1315"/>
      <c r="HS43" s="1315"/>
      <c r="HT43" s="1315"/>
      <c r="HU43" s="1315"/>
      <c r="HV43" s="1315"/>
      <c r="HW43" s="1315"/>
      <c r="HX43" s="1315"/>
      <c r="HY43" s="1315"/>
      <c r="HZ43" s="1315"/>
      <c r="IA43" s="1315"/>
      <c r="IB43" s="1315"/>
      <c r="IC43" s="1315"/>
      <c r="ID43" s="1315"/>
      <c r="IE43" s="1315"/>
      <c r="IF43" s="1315"/>
      <c r="IG43" s="1315"/>
      <c r="IH43" s="1315"/>
      <c r="II43" s="1315"/>
      <c r="IJ43" s="1315"/>
    </row>
    <row r="44" spans="1:244" s="53" customFormat="1" ht="12" x14ac:dyDescent="0.2">
      <c r="A44" s="444">
        <f t="shared" si="65"/>
        <v>33</v>
      </c>
      <c r="B44" s="1312">
        <v>6433</v>
      </c>
      <c r="C44" s="1313">
        <f t="shared" si="66"/>
        <v>31500</v>
      </c>
      <c r="D44" s="1313">
        <f t="shared" si="9"/>
        <v>32760</v>
      </c>
      <c r="E44" s="1313">
        <f t="shared" ref="E44:Y44" si="88">ROUNDUP(D44*(E$10+1),0)</f>
        <v>34169</v>
      </c>
      <c r="F44" s="1313">
        <f t="shared" si="88"/>
        <v>35195</v>
      </c>
      <c r="G44" s="1313">
        <f t="shared" si="88"/>
        <v>36498</v>
      </c>
      <c r="H44" s="1313">
        <f t="shared" si="88"/>
        <v>37958</v>
      </c>
      <c r="I44" s="1313">
        <f t="shared" si="88"/>
        <v>39477</v>
      </c>
      <c r="J44" s="1314">
        <f t="shared" si="88"/>
        <v>41057</v>
      </c>
      <c r="K44" s="1314" t="e">
        <f t="shared" si="88"/>
        <v>#N/A</v>
      </c>
      <c r="L44" s="1314" t="e">
        <f t="shared" si="88"/>
        <v>#N/A</v>
      </c>
      <c r="M44" s="1314" t="e">
        <f t="shared" si="88"/>
        <v>#N/A</v>
      </c>
      <c r="N44" s="1314" t="e">
        <f t="shared" si="88"/>
        <v>#N/A</v>
      </c>
      <c r="O44" s="1314" t="e">
        <f t="shared" si="88"/>
        <v>#N/A</v>
      </c>
      <c r="P44" s="1314" t="e">
        <f t="shared" si="88"/>
        <v>#N/A</v>
      </c>
      <c r="Q44" s="1314" t="e">
        <f t="shared" si="88"/>
        <v>#N/A</v>
      </c>
      <c r="R44" s="1314" t="e">
        <f t="shared" si="88"/>
        <v>#N/A</v>
      </c>
      <c r="S44" s="1314" t="e">
        <f t="shared" si="88"/>
        <v>#N/A</v>
      </c>
      <c r="T44" s="1314" t="e">
        <f t="shared" si="88"/>
        <v>#N/A</v>
      </c>
      <c r="U44" s="1314" t="e">
        <f t="shared" si="88"/>
        <v>#N/A</v>
      </c>
      <c r="V44" s="1314" t="e">
        <f t="shared" si="88"/>
        <v>#N/A</v>
      </c>
      <c r="W44" s="1314" t="e">
        <f t="shared" si="88"/>
        <v>#N/A</v>
      </c>
      <c r="X44" s="1314" t="e">
        <f t="shared" si="88"/>
        <v>#N/A</v>
      </c>
      <c r="Y44" s="1314" t="e">
        <f t="shared" si="88"/>
        <v>#N/A</v>
      </c>
      <c r="Z44" s="1314" t="e">
        <f t="shared" si="11"/>
        <v>#N/A</v>
      </c>
      <c r="AA44" s="1314" t="e">
        <f t="shared" si="12"/>
        <v>#N/A</v>
      </c>
      <c r="AB44" s="1314" t="e">
        <f t="shared" si="13"/>
        <v>#N/A</v>
      </c>
      <c r="AC44" s="1314" t="e">
        <f t="shared" si="14"/>
        <v>#N/A</v>
      </c>
      <c r="AD44" s="1314" t="e">
        <f t="shared" si="15"/>
        <v>#N/A</v>
      </c>
      <c r="AE44" s="1314" t="e">
        <f t="shared" si="16"/>
        <v>#N/A</v>
      </c>
      <c r="AF44" s="1314" t="e">
        <f t="shared" si="17"/>
        <v>#N/A</v>
      </c>
      <c r="AG44" s="1314" t="e">
        <f t="shared" si="18"/>
        <v>#N/A</v>
      </c>
      <c r="AH44" s="1314" t="e">
        <f t="shared" si="19"/>
        <v>#N/A</v>
      </c>
      <c r="AI44" s="1314" t="e">
        <f t="shared" si="20"/>
        <v>#N/A</v>
      </c>
      <c r="AJ44" s="1314" t="e">
        <f t="shared" si="21"/>
        <v>#N/A</v>
      </c>
      <c r="AK44" s="1314" t="e">
        <f t="shared" si="22"/>
        <v>#N/A</v>
      </c>
      <c r="AL44" s="1314" t="e">
        <f t="shared" si="23"/>
        <v>#N/A</v>
      </c>
      <c r="AM44" s="1314" t="e">
        <f t="shared" si="24"/>
        <v>#N/A</v>
      </c>
      <c r="AN44" s="1314" t="e">
        <f t="shared" si="25"/>
        <v>#N/A</v>
      </c>
      <c r="AO44" s="1314" t="e">
        <f t="shared" si="26"/>
        <v>#N/A</v>
      </c>
      <c r="AP44" s="1314" t="e">
        <f t="shared" si="27"/>
        <v>#N/A</v>
      </c>
      <c r="AQ44" s="1314" t="e">
        <f t="shared" si="28"/>
        <v>#N/A</v>
      </c>
      <c r="AR44" s="1314" t="e">
        <f t="shared" si="29"/>
        <v>#N/A</v>
      </c>
      <c r="AS44" s="1314" t="e">
        <f t="shared" si="30"/>
        <v>#N/A</v>
      </c>
      <c r="AT44" s="1314" t="e">
        <f t="shared" si="31"/>
        <v>#N/A</v>
      </c>
      <c r="AU44" s="1314" t="e">
        <f t="shared" si="32"/>
        <v>#N/A</v>
      </c>
      <c r="AV44" s="1314" t="e">
        <f t="shared" si="33"/>
        <v>#N/A</v>
      </c>
      <c r="AW44" s="1314" t="e">
        <f t="shared" si="34"/>
        <v>#N/A</v>
      </c>
      <c r="AX44" s="1314" t="e">
        <f t="shared" si="35"/>
        <v>#N/A</v>
      </c>
      <c r="AY44" s="1314" t="e">
        <f t="shared" si="36"/>
        <v>#N/A</v>
      </c>
      <c r="AZ44" s="1314" t="e">
        <f t="shared" si="37"/>
        <v>#N/A</v>
      </c>
      <c r="BA44" s="1314" t="e">
        <f t="shared" si="38"/>
        <v>#N/A</v>
      </c>
      <c r="BB44" s="1314" t="e">
        <f t="shared" si="39"/>
        <v>#N/A</v>
      </c>
      <c r="BC44" s="1314" t="e">
        <f t="shared" si="40"/>
        <v>#N/A</v>
      </c>
      <c r="BD44" s="1314" t="e">
        <f t="shared" si="41"/>
        <v>#N/A</v>
      </c>
      <c r="BE44" s="1314" t="e">
        <f t="shared" si="42"/>
        <v>#N/A</v>
      </c>
      <c r="BF44" s="1314" t="e">
        <f t="shared" si="43"/>
        <v>#N/A</v>
      </c>
      <c r="BG44" s="1314" t="e">
        <f t="shared" si="44"/>
        <v>#N/A</v>
      </c>
      <c r="BH44" s="1314" t="e">
        <f t="shared" si="45"/>
        <v>#N/A</v>
      </c>
      <c r="BI44" s="1314" t="e">
        <f t="shared" si="46"/>
        <v>#N/A</v>
      </c>
      <c r="BJ44" s="1314" t="e">
        <f t="shared" si="47"/>
        <v>#N/A</v>
      </c>
      <c r="BK44" s="1314" t="e">
        <f t="shared" si="48"/>
        <v>#N/A</v>
      </c>
      <c r="BL44" s="1314" t="e">
        <f t="shared" si="49"/>
        <v>#N/A</v>
      </c>
      <c r="BM44" s="1314" t="e">
        <f t="shared" si="50"/>
        <v>#N/A</v>
      </c>
      <c r="BN44" s="1314" t="e">
        <f t="shared" si="51"/>
        <v>#N/A</v>
      </c>
      <c r="BO44" s="1314" t="e">
        <f t="shared" si="52"/>
        <v>#N/A</v>
      </c>
      <c r="BP44" s="1314" t="e">
        <f t="shared" si="53"/>
        <v>#N/A</v>
      </c>
      <c r="BQ44" s="1314" t="e">
        <f t="shared" si="54"/>
        <v>#N/A</v>
      </c>
      <c r="BR44" s="1314" t="e">
        <f t="shared" si="55"/>
        <v>#N/A</v>
      </c>
      <c r="BS44" s="1314" t="e">
        <f t="shared" si="56"/>
        <v>#N/A</v>
      </c>
      <c r="BT44" s="1314" t="e">
        <f t="shared" si="57"/>
        <v>#N/A</v>
      </c>
      <c r="BU44" s="1314" t="e">
        <f t="shared" si="58"/>
        <v>#N/A</v>
      </c>
      <c r="BV44" s="1314" t="e">
        <f t="shared" si="59"/>
        <v>#N/A</v>
      </c>
      <c r="BW44" s="1314" t="e">
        <f t="shared" si="60"/>
        <v>#N/A</v>
      </c>
      <c r="BX44" s="1314" t="e">
        <f t="shared" si="61"/>
        <v>#N/A</v>
      </c>
      <c r="BY44" s="1314" t="e">
        <f t="shared" si="62"/>
        <v>#N/A</v>
      </c>
      <c r="BZ44" s="1315"/>
      <c r="CA44" s="1315"/>
      <c r="CB44" s="1315"/>
      <c r="CC44" s="1315"/>
      <c r="CD44" s="1315"/>
      <c r="CE44" s="1315"/>
      <c r="CF44" s="1315"/>
      <c r="CG44" s="1315"/>
      <c r="CH44" s="1315"/>
      <c r="CI44" s="1315"/>
      <c r="CJ44" s="1315"/>
      <c r="CK44" s="1315"/>
      <c r="CL44" s="1315"/>
      <c r="CM44" s="1315"/>
      <c r="CN44" s="1315"/>
      <c r="CO44" s="1315"/>
      <c r="CP44" s="1315"/>
      <c r="CQ44" s="1315"/>
      <c r="CR44" s="1315"/>
      <c r="CS44" s="1315"/>
      <c r="CT44" s="1315"/>
      <c r="CU44" s="1315"/>
      <c r="CV44" s="1315"/>
      <c r="CW44" s="1315"/>
      <c r="CX44" s="1315"/>
      <c r="CY44" s="1315"/>
      <c r="CZ44" s="1315"/>
      <c r="DA44" s="1315"/>
      <c r="DB44" s="1315"/>
      <c r="DC44" s="1315"/>
      <c r="DD44" s="1315"/>
      <c r="DE44" s="1315"/>
      <c r="DF44" s="1315"/>
      <c r="DG44" s="1315"/>
      <c r="DH44" s="1315"/>
      <c r="DI44" s="1315"/>
      <c r="DJ44" s="1315"/>
      <c r="DK44" s="1315"/>
      <c r="DL44" s="1315"/>
      <c r="DM44" s="1315"/>
      <c r="DN44" s="1315"/>
      <c r="DO44" s="1315"/>
      <c r="DP44" s="1315"/>
      <c r="DQ44" s="1315"/>
      <c r="DR44" s="1315"/>
      <c r="DS44" s="1315"/>
      <c r="DT44" s="1315"/>
      <c r="DU44" s="1315"/>
      <c r="DV44" s="1315"/>
      <c r="DW44" s="1315"/>
      <c r="DX44" s="1315"/>
      <c r="DY44" s="1315"/>
      <c r="DZ44" s="1315"/>
      <c r="EA44" s="1315"/>
      <c r="EB44" s="1315"/>
      <c r="EC44" s="1315"/>
      <c r="ED44" s="1315"/>
      <c r="EE44" s="1315"/>
      <c r="EF44" s="1315"/>
      <c r="EG44" s="1315"/>
      <c r="EH44" s="1315"/>
      <c r="EI44" s="1315"/>
      <c r="EJ44" s="1315"/>
      <c r="EK44" s="1315"/>
      <c r="EL44" s="1315"/>
      <c r="EM44" s="1315"/>
      <c r="EN44" s="1315"/>
      <c r="EO44" s="1315"/>
      <c r="EP44" s="1315"/>
      <c r="EQ44" s="1315"/>
      <c r="ER44" s="1315"/>
      <c r="ES44" s="1315"/>
      <c r="ET44" s="1315"/>
      <c r="EU44" s="1315"/>
      <c r="EV44" s="1315"/>
      <c r="EW44" s="1315"/>
      <c r="EX44" s="1315"/>
      <c r="EY44" s="1315"/>
      <c r="EZ44" s="1315"/>
      <c r="FA44" s="1315"/>
      <c r="FB44" s="1315"/>
      <c r="FC44" s="1315"/>
      <c r="FD44" s="1315"/>
      <c r="FE44" s="1315"/>
      <c r="FF44" s="1315"/>
      <c r="FG44" s="1315"/>
      <c r="FH44" s="1315"/>
      <c r="FI44" s="1315"/>
      <c r="FJ44" s="1315"/>
      <c r="FK44" s="1315"/>
      <c r="FL44" s="1315"/>
      <c r="FM44" s="1315"/>
      <c r="FN44" s="1315"/>
      <c r="FO44" s="1315"/>
      <c r="FP44" s="1315"/>
      <c r="FQ44" s="1315"/>
      <c r="FR44" s="1315"/>
      <c r="FS44" s="1315"/>
      <c r="FT44" s="1315"/>
      <c r="FU44" s="1315"/>
      <c r="FV44" s="1315"/>
      <c r="FW44" s="1315"/>
      <c r="FX44" s="1315"/>
      <c r="FY44" s="1315"/>
      <c r="FZ44" s="1315"/>
      <c r="GA44" s="1315"/>
      <c r="GB44" s="1315"/>
      <c r="GC44" s="1315"/>
      <c r="GD44" s="1315"/>
      <c r="GE44" s="1315"/>
      <c r="GF44" s="1315"/>
      <c r="GG44" s="1315"/>
      <c r="GH44" s="1315"/>
      <c r="GI44" s="1315"/>
      <c r="GJ44" s="1315"/>
      <c r="GK44" s="1315"/>
      <c r="GL44" s="1315"/>
      <c r="GM44" s="1315"/>
      <c r="GN44" s="1315"/>
      <c r="GO44" s="1315"/>
      <c r="GP44" s="1315"/>
      <c r="GQ44" s="1315"/>
      <c r="GR44" s="1315"/>
      <c r="GS44" s="1315"/>
      <c r="GT44" s="1315"/>
      <c r="GU44" s="1315"/>
      <c r="GV44" s="1315"/>
      <c r="GW44" s="1315"/>
      <c r="GX44" s="1315"/>
      <c r="GY44" s="1315"/>
      <c r="GZ44" s="1315"/>
      <c r="HA44" s="1315"/>
      <c r="HB44" s="1315"/>
      <c r="HC44" s="1315"/>
      <c r="HD44" s="1315"/>
      <c r="HE44" s="1315"/>
      <c r="HF44" s="1315"/>
      <c r="HG44" s="1315"/>
      <c r="HH44" s="1315"/>
      <c r="HI44" s="1315"/>
      <c r="HJ44" s="1315"/>
      <c r="HK44" s="1315"/>
      <c r="HL44" s="1315"/>
      <c r="HM44" s="1315"/>
      <c r="HN44" s="1315"/>
      <c r="HO44" s="1315"/>
      <c r="HP44" s="1315"/>
      <c r="HQ44" s="1315"/>
      <c r="HR44" s="1315"/>
      <c r="HS44" s="1315"/>
      <c r="HT44" s="1315"/>
      <c r="HU44" s="1315"/>
      <c r="HV44" s="1315"/>
      <c r="HW44" s="1315"/>
      <c r="HX44" s="1315"/>
      <c r="HY44" s="1315"/>
      <c r="HZ44" s="1315"/>
      <c r="IA44" s="1315"/>
      <c r="IB44" s="1315"/>
      <c r="IC44" s="1315"/>
      <c r="ID44" s="1315"/>
      <c r="IE44" s="1315"/>
      <c r="IF44" s="1315"/>
      <c r="IG44" s="1315"/>
      <c r="IH44" s="1315"/>
      <c r="II44" s="1315"/>
      <c r="IJ44" s="1315"/>
    </row>
    <row r="45" spans="1:244" s="53" customFormat="1" ht="12" x14ac:dyDescent="0.2">
      <c r="A45" s="444">
        <f t="shared" si="65"/>
        <v>34</v>
      </c>
      <c r="B45" s="1312">
        <v>6655</v>
      </c>
      <c r="C45" s="1313">
        <f t="shared" si="66"/>
        <v>32000</v>
      </c>
      <c r="D45" s="1313">
        <f t="shared" si="9"/>
        <v>33280</v>
      </c>
      <c r="E45" s="1313">
        <f t="shared" ref="E45:Y45" si="89">ROUNDUP(D45*(E$10+1),0)</f>
        <v>34712</v>
      </c>
      <c r="F45" s="1313">
        <f t="shared" si="89"/>
        <v>35754</v>
      </c>
      <c r="G45" s="1313">
        <f t="shared" si="89"/>
        <v>37077</v>
      </c>
      <c r="H45" s="1313">
        <f t="shared" si="89"/>
        <v>38561</v>
      </c>
      <c r="I45" s="1313">
        <f t="shared" si="89"/>
        <v>40104</v>
      </c>
      <c r="J45" s="1314">
        <f t="shared" si="89"/>
        <v>41709</v>
      </c>
      <c r="K45" s="1314" t="e">
        <f t="shared" si="89"/>
        <v>#N/A</v>
      </c>
      <c r="L45" s="1314" t="e">
        <f t="shared" si="89"/>
        <v>#N/A</v>
      </c>
      <c r="M45" s="1314" t="e">
        <f t="shared" si="89"/>
        <v>#N/A</v>
      </c>
      <c r="N45" s="1314" t="e">
        <f t="shared" si="89"/>
        <v>#N/A</v>
      </c>
      <c r="O45" s="1314" t="e">
        <f t="shared" si="89"/>
        <v>#N/A</v>
      </c>
      <c r="P45" s="1314" t="e">
        <f t="shared" si="89"/>
        <v>#N/A</v>
      </c>
      <c r="Q45" s="1314" t="e">
        <f t="shared" si="89"/>
        <v>#N/A</v>
      </c>
      <c r="R45" s="1314" t="e">
        <f t="shared" si="89"/>
        <v>#N/A</v>
      </c>
      <c r="S45" s="1314" t="e">
        <f t="shared" si="89"/>
        <v>#N/A</v>
      </c>
      <c r="T45" s="1314" t="e">
        <f t="shared" si="89"/>
        <v>#N/A</v>
      </c>
      <c r="U45" s="1314" t="e">
        <f t="shared" si="89"/>
        <v>#N/A</v>
      </c>
      <c r="V45" s="1314" t="e">
        <f t="shared" si="89"/>
        <v>#N/A</v>
      </c>
      <c r="W45" s="1314" t="e">
        <f t="shared" si="89"/>
        <v>#N/A</v>
      </c>
      <c r="X45" s="1314" t="e">
        <f t="shared" si="89"/>
        <v>#N/A</v>
      </c>
      <c r="Y45" s="1314" t="e">
        <f t="shared" si="89"/>
        <v>#N/A</v>
      </c>
      <c r="Z45" s="1314" t="e">
        <f t="shared" si="11"/>
        <v>#N/A</v>
      </c>
      <c r="AA45" s="1314" t="e">
        <f t="shared" si="12"/>
        <v>#N/A</v>
      </c>
      <c r="AB45" s="1314" t="e">
        <f t="shared" si="13"/>
        <v>#N/A</v>
      </c>
      <c r="AC45" s="1314" t="e">
        <f t="shared" si="14"/>
        <v>#N/A</v>
      </c>
      <c r="AD45" s="1314" t="e">
        <f t="shared" si="15"/>
        <v>#N/A</v>
      </c>
      <c r="AE45" s="1314" t="e">
        <f t="shared" si="16"/>
        <v>#N/A</v>
      </c>
      <c r="AF45" s="1314" t="e">
        <f t="shared" si="17"/>
        <v>#N/A</v>
      </c>
      <c r="AG45" s="1314" t="e">
        <f t="shared" si="18"/>
        <v>#N/A</v>
      </c>
      <c r="AH45" s="1314" t="e">
        <f t="shared" si="19"/>
        <v>#N/A</v>
      </c>
      <c r="AI45" s="1314" t="e">
        <f t="shared" si="20"/>
        <v>#N/A</v>
      </c>
      <c r="AJ45" s="1314" t="e">
        <f t="shared" si="21"/>
        <v>#N/A</v>
      </c>
      <c r="AK45" s="1314" t="e">
        <f t="shared" si="22"/>
        <v>#N/A</v>
      </c>
      <c r="AL45" s="1314" t="e">
        <f t="shared" si="23"/>
        <v>#N/A</v>
      </c>
      <c r="AM45" s="1314" t="e">
        <f t="shared" si="24"/>
        <v>#N/A</v>
      </c>
      <c r="AN45" s="1314" t="e">
        <f t="shared" si="25"/>
        <v>#N/A</v>
      </c>
      <c r="AO45" s="1314" t="e">
        <f t="shared" si="26"/>
        <v>#N/A</v>
      </c>
      <c r="AP45" s="1314" t="e">
        <f t="shared" si="27"/>
        <v>#N/A</v>
      </c>
      <c r="AQ45" s="1314" t="e">
        <f t="shared" si="28"/>
        <v>#N/A</v>
      </c>
      <c r="AR45" s="1314" t="e">
        <f t="shared" si="29"/>
        <v>#N/A</v>
      </c>
      <c r="AS45" s="1314" t="e">
        <f t="shared" si="30"/>
        <v>#N/A</v>
      </c>
      <c r="AT45" s="1314" t="e">
        <f t="shared" si="31"/>
        <v>#N/A</v>
      </c>
      <c r="AU45" s="1314" t="e">
        <f t="shared" si="32"/>
        <v>#N/A</v>
      </c>
      <c r="AV45" s="1314" t="e">
        <f t="shared" si="33"/>
        <v>#N/A</v>
      </c>
      <c r="AW45" s="1314" t="e">
        <f t="shared" si="34"/>
        <v>#N/A</v>
      </c>
      <c r="AX45" s="1314" t="e">
        <f t="shared" si="35"/>
        <v>#N/A</v>
      </c>
      <c r="AY45" s="1314" t="e">
        <f t="shared" si="36"/>
        <v>#N/A</v>
      </c>
      <c r="AZ45" s="1314" t="e">
        <f t="shared" si="37"/>
        <v>#N/A</v>
      </c>
      <c r="BA45" s="1314" t="e">
        <f t="shared" si="38"/>
        <v>#N/A</v>
      </c>
      <c r="BB45" s="1314" t="e">
        <f t="shared" si="39"/>
        <v>#N/A</v>
      </c>
      <c r="BC45" s="1314" t="e">
        <f t="shared" si="40"/>
        <v>#N/A</v>
      </c>
      <c r="BD45" s="1314" t="e">
        <f t="shared" si="41"/>
        <v>#N/A</v>
      </c>
      <c r="BE45" s="1314" t="e">
        <f t="shared" si="42"/>
        <v>#N/A</v>
      </c>
      <c r="BF45" s="1314" t="e">
        <f t="shared" si="43"/>
        <v>#N/A</v>
      </c>
      <c r="BG45" s="1314" t="e">
        <f t="shared" si="44"/>
        <v>#N/A</v>
      </c>
      <c r="BH45" s="1314" t="e">
        <f t="shared" si="45"/>
        <v>#N/A</v>
      </c>
      <c r="BI45" s="1314" t="e">
        <f t="shared" si="46"/>
        <v>#N/A</v>
      </c>
      <c r="BJ45" s="1314" t="e">
        <f t="shared" si="47"/>
        <v>#N/A</v>
      </c>
      <c r="BK45" s="1314" t="e">
        <f t="shared" si="48"/>
        <v>#N/A</v>
      </c>
      <c r="BL45" s="1314" t="e">
        <f t="shared" si="49"/>
        <v>#N/A</v>
      </c>
      <c r="BM45" s="1314" t="e">
        <f t="shared" si="50"/>
        <v>#N/A</v>
      </c>
      <c r="BN45" s="1314" t="e">
        <f t="shared" si="51"/>
        <v>#N/A</v>
      </c>
      <c r="BO45" s="1314" t="e">
        <f t="shared" si="52"/>
        <v>#N/A</v>
      </c>
      <c r="BP45" s="1314" t="e">
        <f t="shared" si="53"/>
        <v>#N/A</v>
      </c>
      <c r="BQ45" s="1314" t="e">
        <f t="shared" si="54"/>
        <v>#N/A</v>
      </c>
      <c r="BR45" s="1314" t="e">
        <f t="shared" si="55"/>
        <v>#N/A</v>
      </c>
      <c r="BS45" s="1314" t="e">
        <f t="shared" si="56"/>
        <v>#N/A</v>
      </c>
      <c r="BT45" s="1314" t="e">
        <f t="shared" si="57"/>
        <v>#N/A</v>
      </c>
      <c r="BU45" s="1314" t="e">
        <f t="shared" si="58"/>
        <v>#N/A</v>
      </c>
      <c r="BV45" s="1314" t="e">
        <f t="shared" si="59"/>
        <v>#N/A</v>
      </c>
      <c r="BW45" s="1314" t="e">
        <f t="shared" si="60"/>
        <v>#N/A</v>
      </c>
      <c r="BX45" s="1314" t="e">
        <f t="shared" si="61"/>
        <v>#N/A</v>
      </c>
      <c r="BY45" s="1314" t="e">
        <f t="shared" si="62"/>
        <v>#N/A</v>
      </c>
      <c r="BZ45" s="1315"/>
      <c r="CA45" s="1315"/>
      <c r="CB45" s="1315"/>
      <c r="CC45" s="1315"/>
      <c r="CD45" s="1315"/>
      <c r="CE45" s="1315"/>
      <c r="CF45" s="1315"/>
      <c r="CG45" s="1315"/>
      <c r="CH45" s="1315"/>
      <c r="CI45" s="1315"/>
      <c r="CJ45" s="1315"/>
      <c r="CK45" s="1315"/>
      <c r="CL45" s="1315"/>
      <c r="CM45" s="1315"/>
      <c r="CN45" s="1315"/>
      <c r="CO45" s="1315"/>
      <c r="CP45" s="1315"/>
      <c r="CQ45" s="1315"/>
      <c r="CR45" s="1315"/>
      <c r="CS45" s="1315"/>
      <c r="CT45" s="1315"/>
      <c r="CU45" s="1315"/>
      <c r="CV45" s="1315"/>
      <c r="CW45" s="1315"/>
      <c r="CX45" s="1315"/>
      <c r="CY45" s="1315"/>
      <c r="CZ45" s="1315"/>
      <c r="DA45" s="1315"/>
      <c r="DB45" s="1315"/>
      <c r="DC45" s="1315"/>
      <c r="DD45" s="1315"/>
      <c r="DE45" s="1315"/>
      <c r="DF45" s="1315"/>
      <c r="DG45" s="1315"/>
      <c r="DH45" s="1315"/>
      <c r="DI45" s="1315"/>
      <c r="DJ45" s="1315"/>
      <c r="DK45" s="1315"/>
      <c r="DL45" s="1315"/>
      <c r="DM45" s="1315"/>
      <c r="DN45" s="1315"/>
      <c r="DO45" s="1315"/>
      <c r="DP45" s="1315"/>
      <c r="DQ45" s="1315"/>
      <c r="DR45" s="1315"/>
      <c r="DS45" s="1315"/>
      <c r="DT45" s="1315"/>
      <c r="DU45" s="1315"/>
      <c r="DV45" s="1315"/>
      <c r="DW45" s="1315"/>
      <c r="DX45" s="1315"/>
      <c r="DY45" s="1315"/>
      <c r="DZ45" s="1315"/>
      <c r="EA45" s="1315"/>
      <c r="EB45" s="1315"/>
      <c r="EC45" s="1315"/>
      <c r="ED45" s="1315"/>
      <c r="EE45" s="1315"/>
      <c r="EF45" s="1315"/>
      <c r="EG45" s="1315"/>
      <c r="EH45" s="1315"/>
      <c r="EI45" s="1315"/>
      <c r="EJ45" s="1315"/>
      <c r="EK45" s="1315"/>
      <c r="EL45" s="1315"/>
      <c r="EM45" s="1315"/>
      <c r="EN45" s="1315"/>
      <c r="EO45" s="1315"/>
      <c r="EP45" s="1315"/>
      <c r="EQ45" s="1315"/>
      <c r="ER45" s="1315"/>
      <c r="ES45" s="1315"/>
      <c r="ET45" s="1315"/>
      <c r="EU45" s="1315"/>
      <c r="EV45" s="1315"/>
      <c r="EW45" s="1315"/>
      <c r="EX45" s="1315"/>
      <c r="EY45" s="1315"/>
      <c r="EZ45" s="1315"/>
      <c r="FA45" s="1315"/>
      <c r="FB45" s="1315"/>
      <c r="FC45" s="1315"/>
      <c r="FD45" s="1315"/>
      <c r="FE45" s="1315"/>
      <c r="FF45" s="1315"/>
      <c r="FG45" s="1315"/>
      <c r="FH45" s="1315"/>
      <c r="FI45" s="1315"/>
      <c r="FJ45" s="1315"/>
      <c r="FK45" s="1315"/>
      <c r="FL45" s="1315"/>
      <c r="FM45" s="1315"/>
      <c r="FN45" s="1315"/>
      <c r="FO45" s="1315"/>
      <c r="FP45" s="1315"/>
      <c r="FQ45" s="1315"/>
      <c r="FR45" s="1315"/>
      <c r="FS45" s="1315"/>
      <c r="FT45" s="1315"/>
      <c r="FU45" s="1315"/>
      <c r="FV45" s="1315"/>
      <c r="FW45" s="1315"/>
      <c r="FX45" s="1315"/>
      <c r="FY45" s="1315"/>
      <c r="FZ45" s="1315"/>
      <c r="GA45" s="1315"/>
      <c r="GB45" s="1315"/>
      <c r="GC45" s="1315"/>
      <c r="GD45" s="1315"/>
      <c r="GE45" s="1315"/>
      <c r="GF45" s="1315"/>
      <c r="GG45" s="1315"/>
      <c r="GH45" s="1315"/>
      <c r="GI45" s="1315"/>
      <c r="GJ45" s="1315"/>
      <c r="GK45" s="1315"/>
      <c r="GL45" s="1315"/>
      <c r="GM45" s="1315"/>
      <c r="GN45" s="1315"/>
      <c r="GO45" s="1315"/>
      <c r="GP45" s="1315"/>
      <c r="GQ45" s="1315"/>
      <c r="GR45" s="1315"/>
      <c r="GS45" s="1315"/>
      <c r="GT45" s="1315"/>
      <c r="GU45" s="1315"/>
      <c r="GV45" s="1315"/>
      <c r="GW45" s="1315"/>
      <c r="GX45" s="1315"/>
      <c r="GY45" s="1315"/>
      <c r="GZ45" s="1315"/>
      <c r="HA45" s="1315"/>
      <c r="HB45" s="1315"/>
      <c r="HC45" s="1315"/>
      <c r="HD45" s="1315"/>
      <c r="HE45" s="1315"/>
      <c r="HF45" s="1315"/>
      <c r="HG45" s="1315"/>
      <c r="HH45" s="1315"/>
      <c r="HI45" s="1315"/>
      <c r="HJ45" s="1315"/>
      <c r="HK45" s="1315"/>
      <c r="HL45" s="1315"/>
      <c r="HM45" s="1315"/>
      <c r="HN45" s="1315"/>
      <c r="HO45" s="1315"/>
      <c r="HP45" s="1315"/>
      <c r="HQ45" s="1315"/>
      <c r="HR45" s="1315"/>
      <c r="HS45" s="1315"/>
      <c r="HT45" s="1315"/>
      <c r="HU45" s="1315"/>
      <c r="HV45" s="1315"/>
      <c r="HW45" s="1315"/>
      <c r="HX45" s="1315"/>
      <c r="HY45" s="1315"/>
      <c r="HZ45" s="1315"/>
      <c r="IA45" s="1315"/>
      <c r="IB45" s="1315"/>
      <c r="IC45" s="1315"/>
      <c r="ID45" s="1315"/>
      <c r="IE45" s="1315"/>
      <c r="IF45" s="1315"/>
      <c r="IG45" s="1315"/>
      <c r="IH45" s="1315"/>
      <c r="II45" s="1315"/>
      <c r="IJ45" s="1315"/>
    </row>
    <row r="46" spans="1:244" s="53" customFormat="1" ht="12" x14ac:dyDescent="0.2">
      <c r="A46" s="444">
        <f t="shared" si="65"/>
        <v>35</v>
      </c>
      <c r="B46" s="1312">
        <v>6875</v>
      </c>
      <c r="C46" s="1313">
        <f t="shared" si="66"/>
        <v>32500</v>
      </c>
      <c r="D46" s="1313">
        <f t="shared" si="9"/>
        <v>33800</v>
      </c>
      <c r="E46" s="1313">
        <f t="shared" ref="E46:Y46" si="90">ROUNDUP(D46*(E$10+1),0)</f>
        <v>35254</v>
      </c>
      <c r="F46" s="1313">
        <f t="shared" si="90"/>
        <v>36312</v>
      </c>
      <c r="G46" s="1313">
        <f t="shared" si="90"/>
        <v>37656</v>
      </c>
      <c r="H46" s="1313">
        <f t="shared" si="90"/>
        <v>39163</v>
      </c>
      <c r="I46" s="1313">
        <f t="shared" si="90"/>
        <v>40730</v>
      </c>
      <c r="J46" s="1314">
        <f t="shared" si="90"/>
        <v>42360</v>
      </c>
      <c r="K46" s="1314" t="e">
        <f t="shared" si="90"/>
        <v>#N/A</v>
      </c>
      <c r="L46" s="1314" t="e">
        <f t="shared" si="90"/>
        <v>#N/A</v>
      </c>
      <c r="M46" s="1314" t="e">
        <f t="shared" si="90"/>
        <v>#N/A</v>
      </c>
      <c r="N46" s="1314" t="e">
        <f t="shared" si="90"/>
        <v>#N/A</v>
      </c>
      <c r="O46" s="1314" t="e">
        <f t="shared" si="90"/>
        <v>#N/A</v>
      </c>
      <c r="P46" s="1314" t="e">
        <f t="shared" si="90"/>
        <v>#N/A</v>
      </c>
      <c r="Q46" s="1314" t="e">
        <f t="shared" si="90"/>
        <v>#N/A</v>
      </c>
      <c r="R46" s="1314" t="e">
        <f t="shared" si="90"/>
        <v>#N/A</v>
      </c>
      <c r="S46" s="1314" t="e">
        <f t="shared" si="90"/>
        <v>#N/A</v>
      </c>
      <c r="T46" s="1314" t="e">
        <f t="shared" si="90"/>
        <v>#N/A</v>
      </c>
      <c r="U46" s="1314" t="e">
        <f t="shared" si="90"/>
        <v>#N/A</v>
      </c>
      <c r="V46" s="1314" t="e">
        <f t="shared" si="90"/>
        <v>#N/A</v>
      </c>
      <c r="W46" s="1314" t="e">
        <f t="shared" si="90"/>
        <v>#N/A</v>
      </c>
      <c r="X46" s="1314" t="e">
        <f t="shared" si="90"/>
        <v>#N/A</v>
      </c>
      <c r="Y46" s="1314" t="e">
        <f t="shared" si="90"/>
        <v>#N/A</v>
      </c>
      <c r="Z46" s="1314" t="e">
        <f t="shared" si="11"/>
        <v>#N/A</v>
      </c>
      <c r="AA46" s="1314" t="e">
        <f t="shared" si="12"/>
        <v>#N/A</v>
      </c>
      <c r="AB46" s="1314" t="e">
        <f t="shared" si="13"/>
        <v>#N/A</v>
      </c>
      <c r="AC46" s="1314" t="e">
        <f t="shared" si="14"/>
        <v>#N/A</v>
      </c>
      <c r="AD46" s="1314" t="e">
        <f t="shared" si="15"/>
        <v>#N/A</v>
      </c>
      <c r="AE46" s="1314" t="e">
        <f t="shared" si="16"/>
        <v>#N/A</v>
      </c>
      <c r="AF46" s="1314" t="e">
        <f t="shared" si="17"/>
        <v>#N/A</v>
      </c>
      <c r="AG46" s="1314" t="e">
        <f t="shared" si="18"/>
        <v>#N/A</v>
      </c>
      <c r="AH46" s="1314" t="e">
        <f t="shared" si="19"/>
        <v>#N/A</v>
      </c>
      <c r="AI46" s="1314" t="e">
        <f t="shared" si="20"/>
        <v>#N/A</v>
      </c>
      <c r="AJ46" s="1314" t="e">
        <f t="shared" si="21"/>
        <v>#N/A</v>
      </c>
      <c r="AK46" s="1314" t="e">
        <f t="shared" si="22"/>
        <v>#N/A</v>
      </c>
      <c r="AL46" s="1314" t="e">
        <f t="shared" si="23"/>
        <v>#N/A</v>
      </c>
      <c r="AM46" s="1314" t="e">
        <f t="shared" si="24"/>
        <v>#N/A</v>
      </c>
      <c r="AN46" s="1314" t="e">
        <f t="shared" si="25"/>
        <v>#N/A</v>
      </c>
      <c r="AO46" s="1314" t="e">
        <f t="shared" si="26"/>
        <v>#N/A</v>
      </c>
      <c r="AP46" s="1314" t="e">
        <f t="shared" si="27"/>
        <v>#N/A</v>
      </c>
      <c r="AQ46" s="1314" t="e">
        <f t="shared" si="28"/>
        <v>#N/A</v>
      </c>
      <c r="AR46" s="1314" t="e">
        <f t="shared" si="29"/>
        <v>#N/A</v>
      </c>
      <c r="AS46" s="1314" t="e">
        <f t="shared" si="30"/>
        <v>#N/A</v>
      </c>
      <c r="AT46" s="1314" t="e">
        <f t="shared" si="31"/>
        <v>#N/A</v>
      </c>
      <c r="AU46" s="1314" t="e">
        <f t="shared" si="32"/>
        <v>#N/A</v>
      </c>
      <c r="AV46" s="1314" t="e">
        <f t="shared" si="33"/>
        <v>#N/A</v>
      </c>
      <c r="AW46" s="1314" t="e">
        <f t="shared" si="34"/>
        <v>#N/A</v>
      </c>
      <c r="AX46" s="1314" t="e">
        <f t="shared" si="35"/>
        <v>#N/A</v>
      </c>
      <c r="AY46" s="1314" t="e">
        <f t="shared" si="36"/>
        <v>#N/A</v>
      </c>
      <c r="AZ46" s="1314" t="e">
        <f t="shared" si="37"/>
        <v>#N/A</v>
      </c>
      <c r="BA46" s="1314" t="e">
        <f t="shared" si="38"/>
        <v>#N/A</v>
      </c>
      <c r="BB46" s="1314" t="e">
        <f t="shared" si="39"/>
        <v>#N/A</v>
      </c>
      <c r="BC46" s="1314" t="e">
        <f t="shared" si="40"/>
        <v>#N/A</v>
      </c>
      <c r="BD46" s="1314" t="e">
        <f t="shared" si="41"/>
        <v>#N/A</v>
      </c>
      <c r="BE46" s="1314" t="e">
        <f t="shared" si="42"/>
        <v>#N/A</v>
      </c>
      <c r="BF46" s="1314" t="e">
        <f t="shared" si="43"/>
        <v>#N/A</v>
      </c>
      <c r="BG46" s="1314" t="e">
        <f t="shared" si="44"/>
        <v>#N/A</v>
      </c>
      <c r="BH46" s="1314" t="e">
        <f t="shared" si="45"/>
        <v>#N/A</v>
      </c>
      <c r="BI46" s="1314" t="e">
        <f t="shared" si="46"/>
        <v>#N/A</v>
      </c>
      <c r="BJ46" s="1314" t="e">
        <f t="shared" si="47"/>
        <v>#N/A</v>
      </c>
      <c r="BK46" s="1314" t="e">
        <f t="shared" si="48"/>
        <v>#N/A</v>
      </c>
      <c r="BL46" s="1314" t="e">
        <f t="shared" si="49"/>
        <v>#N/A</v>
      </c>
      <c r="BM46" s="1314" t="e">
        <f t="shared" si="50"/>
        <v>#N/A</v>
      </c>
      <c r="BN46" s="1314" t="e">
        <f t="shared" si="51"/>
        <v>#N/A</v>
      </c>
      <c r="BO46" s="1314" t="e">
        <f t="shared" si="52"/>
        <v>#N/A</v>
      </c>
      <c r="BP46" s="1314" t="e">
        <f t="shared" si="53"/>
        <v>#N/A</v>
      </c>
      <c r="BQ46" s="1314" t="e">
        <f t="shared" si="54"/>
        <v>#N/A</v>
      </c>
      <c r="BR46" s="1314" t="e">
        <f t="shared" si="55"/>
        <v>#N/A</v>
      </c>
      <c r="BS46" s="1314" t="e">
        <f t="shared" si="56"/>
        <v>#N/A</v>
      </c>
      <c r="BT46" s="1314" t="e">
        <f t="shared" si="57"/>
        <v>#N/A</v>
      </c>
      <c r="BU46" s="1314" t="e">
        <f t="shared" si="58"/>
        <v>#N/A</v>
      </c>
      <c r="BV46" s="1314" t="e">
        <f t="shared" si="59"/>
        <v>#N/A</v>
      </c>
      <c r="BW46" s="1314" t="e">
        <f t="shared" si="60"/>
        <v>#N/A</v>
      </c>
      <c r="BX46" s="1314" t="e">
        <f t="shared" si="61"/>
        <v>#N/A</v>
      </c>
      <c r="BY46" s="1314" t="e">
        <f t="shared" si="62"/>
        <v>#N/A</v>
      </c>
      <c r="BZ46" s="1315"/>
      <c r="CA46" s="1315"/>
      <c r="CB46" s="1315"/>
      <c r="CC46" s="1315"/>
      <c r="CD46" s="1315"/>
      <c r="CE46" s="1315"/>
      <c r="CF46" s="1315"/>
      <c r="CG46" s="1315"/>
      <c r="CH46" s="1315"/>
      <c r="CI46" s="1315"/>
      <c r="CJ46" s="1315"/>
      <c r="CK46" s="1315"/>
      <c r="CL46" s="1315"/>
      <c r="CM46" s="1315"/>
      <c r="CN46" s="1315"/>
      <c r="CO46" s="1315"/>
      <c r="CP46" s="1315"/>
      <c r="CQ46" s="1315"/>
      <c r="CR46" s="1315"/>
      <c r="CS46" s="1315"/>
      <c r="CT46" s="1315"/>
      <c r="CU46" s="1315"/>
      <c r="CV46" s="1315"/>
      <c r="CW46" s="1315"/>
      <c r="CX46" s="1315"/>
      <c r="CY46" s="1315"/>
      <c r="CZ46" s="1315"/>
      <c r="DA46" s="1315"/>
      <c r="DB46" s="1315"/>
      <c r="DC46" s="1315"/>
      <c r="DD46" s="1315"/>
      <c r="DE46" s="1315"/>
      <c r="DF46" s="1315"/>
      <c r="DG46" s="1315"/>
      <c r="DH46" s="1315"/>
      <c r="DI46" s="1315"/>
      <c r="DJ46" s="1315"/>
      <c r="DK46" s="1315"/>
      <c r="DL46" s="1315"/>
      <c r="DM46" s="1315"/>
      <c r="DN46" s="1315"/>
      <c r="DO46" s="1315"/>
      <c r="DP46" s="1315"/>
      <c r="DQ46" s="1315"/>
      <c r="DR46" s="1315"/>
      <c r="DS46" s="1315"/>
      <c r="DT46" s="1315"/>
      <c r="DU46" s="1315"/>
      <c r="DV46" s="1315"/>
      <c r="DW46" s="1315"/>
      <c r="DX46" s="1315"/>
      <c r="DY46" s="1315"/>
      <c r="DZ46" s="1315"/>
      <c r="EA46" s="1315"/>
      <c r="EB46" s="1315"/>
      <c r="EC46" s="1315"/>
      <c r="ED46" s="1315"/>
      <c r="EE46" s="1315"/>
      <c r="EF46" s="1315"/>
      <c r="EG46" s="1315"/>
      <c r="EH46" s="1315"/>
      <c r="EI46" s="1315"/>
      <c r="EJ46" s="1315"/>
      <c r="EK46" s="1315"/>
      <c r="EL46" s="1315"/>
      <c r="EM46" s="1315"/>
      <c r="EN46" s="1315"/>
      <c r="EO46" s="1315"/>
      <c r="EP46" s="1315"/>
      <c r="EQ46" s="1315"/>
      <c r="ER46" s="1315"/>
      <c r="ES46" s="1315"/>
      <c r="ET46" s="1315"/>
      <c r="EU46" s="1315"/>
      <c r="EV46" s="1315"/>
      <c r="EW46" s="1315"/>
      <c r="EX46" s="1315"/>
      <c r="EY46" s="1315"/>
      <c r="EZ46" s="1315"/>
      <c r="FA46" s="1315"/>
      <c r="FB46" s="1315"/>
      <c r="FC46" s="1315"/>
      <c r="FD46" s="1315"/>
      <c r="FE46" s="1315"/>
      <c r="FF46" s="1315"/>
      <c r="FG46" s="1315"/>
      <c r="FH46" s="1315"/>
      <c r="FI46" s="1315"/>
      <c r="FJ46" s="1315"/>
      <c r="FK46" s="1315"/>
      <c r="FL46" s="1315"/>
      <c r="FM46" s="1315"/>
      <c r="FN46" s="1315"/>
      <c r="FO46" s="1315"/>
      <c r="FP46" s="1315"/>
      <c r="FQ46" s="1315"/>
      <c r="FR46" s="1315"/>
      <c r="FS46" s="1315"/>
      <c r="FT46" s="1315"/>
      <c r="FU46" s="1315"/>
      <c r="FV46" s="1315"/>
      <c r="FW46" s="1315"/>
      <c r="FX46" s="1315"/>
      <c r="FY46" s="1315"/>
      <c r="FZ46" s="1315"/>
      <c r="GA46" s="1315"/>
      <c r="GB46" s="1315"/>
      <c r="GC46" s="1315"/>
      <c r="GD46" s="1315"/>
      <c r="GE46" s="1315"/>
      <c r="GF46" s="1315"/>
      <c r="GG46" s="1315"/>
      <c r="GH46" s="1315"/>
      <c r="GI46" s="1315"/>
      <c r="GJ46" s="1315"/>
      <c r="GK46" s="1315"/>
      <c r="GL46" s="1315"/>
      <c r="GM46" s="1315"/>
      <c r="GN46" s="1315"/>
      <c r="GO46" s="1315"/>
      <c r="GP46" s="1315"/>
      <c r="GQ46" s="1315"/>
      <c r="GR46" s="1315"/>
      <c r="GS46" s="1315"/>
      <c r="GT46" s="1315"/>
      <c r="GU46" s="1315"/>
      <c r="GV46" s="1315"/>
      <c r="GW46" s="1315"/>
      <c r="GX46" s="1315"/>
      <c r="GY46" s="1315"/>
      <c r="GZ46" s="1315"/>
      <c r="HA46" s="1315"/>
      <c r="HB46" s="1315"/>
      <c r="HC46" s="1315"/>
      <c r="HD46" s="1315"/>
      <c r="HE46" s="1315"/>
      <c r="HF46" s="1315"/>
      <c r="HG46" s="1315"/>
      <c r="HH46" s="1315"/>
      <c r="HI46" s="1315"/>
      <c r="HJ46" s="1315"/>
      <c r="HK46" s="1315"/>
      <c r="HL46" s="1315"/>
      <c r="HM46" s="1315"/>
      <c r="HN46" s="1315"/>
      <c r="HO46" s="1315"/>
      <c r="HP46" s="1315"/>
      <c r="HQ46" s="1315"/>
      <c r="HR46" s="1315"/>
      <c r="HS46" s="1315"/>
      <c r="HT46" s="1315"/>
      <c r="HU46" s="1315"/>
      <c r="HV46" s="1315"/>
      <c r="HW46" s="1315"/>
      <c r="HX46" s="1315"/>
      <c r="HY46" s="1315"/>
      <c r="HZ46" s="1315"/>
      <c r="IA46" s="1315"/>
      <c r="IB46" s="1315"/>
      <c r="IC46" s="1315"/>
      <c r="ID46" s="1315"/>
      <c r="IE46" s="1315"/>
      <c r="IF46" s="1315"/>
      <c r="IG46" s="1315"/>
      <c r="IH46" s="1315"/>
      <c r="II46" s="1315"/>
      <c r="IJ46" s="1315"/>
    </row>
    <row r="47" spans="1:244" s="53" customFormat="1" ht="12" x14ac:dyDescent="0.2">
      <c r="A47" s="444">
        <f t="shared" si="65"/>
        <v>36</v>
      </c>
      <c r="B47" s="1312">
        <v>6987</v>
      </c>
      <c r="C47" s="1313">
        <f t="shared" si="66"/>
        <v>33000</v>
      </c>
      <c r="D47" s="1313">
        <f t="shared" si="9"/>
        <v>34320</v>
      </c>
      <c r="E47" s="1313">
        <f t="shared" ref="E47:Y47" si="91">ROUNDUP(D47*(E$10+1),0)</f>
        <v>35796</v>
      </c>
      <c r="F47" s="1313">
        <f t="shared" si="91"/>
        <v>36870</v>
      </c>
      <c r="G47" s="1313">
        <f t="shared" si="91"/>
        <v>38235</v>
      </c>
      <c r="H47" s="1313">
        <f t="shared" si="91"/>
        <v>39765</v>
      </c>
      <c r="I47" s="1313">
        <f t="shared" si="91"/>
        <v>41356</v>
      </c>
      <c r="J47" s="1314">
        <f t="shared" si="91"/>
        <v>43011</v>
      </c>
      <c r="K47" s="1314" t="e">
        <f t="shared" si="91"/>
        <v>#N/A</v>
      </c>
      <c r="L47" s="1314" t="e">
        <f t="shared" si="91"/>
        <v>#N/A</v>
      </c>
      <c r="M47" s="1314" t="e">
        <f t="shared" si="91"/>
        <v>#N/A</v>
      </c>
      <c r="N47" s="1314" t="e">
        <f t="shared" si="91"/>
        <v>#N/A</v>
      </c>
      <c r="O47" s="1314" t="e">
        <f t="shared" si="91"/>
        <v>#N/A</v>
      </c>
      <c r="P47" s="1314" t="e">
        <f t="shared" si="91"/>
        <v>#N/A</v>
      </c>
      <c r="Q47" s="1314" t="e">
        <f t="shared" si="91"/>
        <v>#N/A</v>
      </c>
      <c r="R47" s="1314" t="e">
        <f t="shared" si="91"/>
        <v>#N/A</v>
      </c>
      <c r="S47" s="1314" t="e">
        <f t="shared" si="91"/>
        <v>#N/A</v>
      </c>
      <c r="T47" s="1314" t="e">
        <f t="shared" si="91"/>
        <v>#N/A</v>
      </c>
      <c r="U47" s="1314" t="e">
        <f t="shared" si="91"/>
        <v>#N/A</v>
      </c>
      <c r="V47" s="1314" t="e">
        <f t="shared" si="91"/>
        <v>#N/A</v>
      </c>
      <c r="W47" s="1314" t="e">
        <f t="shared" si="91"/>
        <v>#N/A</v>
      </c>
      <c r="X47" s="1314" t="e">
        <f t="shared" si="91"/>
        <v>#N/A</v>
      </c>
      <c r="Y47" s="1314" t="e">
        <f t="shared" si="91"/>
        <v>#N/A</v>
      </c>
      <c r="Z47" s="1314" t="e">
        <f t="shared" si="11"/>
        <v>#N/A</v>
      </c>
      <c r="AA47" s="1314" t="e">
        <f t="shared" si="12"/>
        <v>#N/A</v>
      </c>
      <c r="AB47" s="1314" t="e">
        <f t="shared" si="13"/>
        <v>#N/A</v>
      </c>
      <c r="AC47" s="1314" t="e">
        <f t="shared" si="14"/>
        <v>#N/A</v>
      </c>
      <c r="AD47" s="1314" t="e">
        <f t="shared" si="15"/>
        <v>#N/A</v>
      </c>
      <c r="AE47" s="1314" t="e">
        <f t="shared" si="16"/>
        <v>#N/A</v>
      </c>
      <c r="AF47" s="1314" t="e">
        <f t="shared" si="17"/>
        <v>#N/A</v>
      </c>
      <c r="AG47" s="1314" t="e">
        <f t="shared" si="18"/>
        <v>#N/A</v>
      </c>
      <c r="AH47" s="1314" t="e">
        <f t="shared" si="19"/>
        <v>#N/A</v>
      </c>
      <c r="AI47" s="1314" t="e">
        <f t="shared" si="20"/>
        <v>#N/A</v>
      </c>
      <c r="AJ47" s="1314" t="e">
        <f t="shared" si="21"/>
        <v>#N/A</v>
      </c>
      <c r="AK47" s="1314" t="e">
        <f t="shared" si="22"/>
        <v>#N/A</v>
      </c>
      <c r="AL47" s="1314" t="e">
        <f t="shared" si="23"/>
        <v>#N/A</v>
      </c>
      <c r="AM47" s="1314" t="e">
        <f t="shared" si="24"/>
        <v>#N/A</v>
      </c>
      <c r="AN47" s="1314" t="e">
        <f t="shared" si="25"/>
        <v>#N/A</v>
      </c>
      <c r="AO47" s="1314" t="e">
        <f t="shared" si="26"/>
        <v>#N/A</v>
      </c>
      <c r="AP47" s="1314" t="e">
        <f t="shared" si="27"/>
        <v>#N/A</v>
      </c>
      <c r="AQ47" s="1314" t="e">
        <f t="shared" si="28"/>
        <v>#N/A</v>
      </c>
      <c r="AR47" s="1314" t="e">
        <f t="shared" si="29"/>
        <v>#N/A</v>
      </c>
      <c r="AS47" s="1314" t="e">
        <f t="shared" si="30"/>
        <v>#N/A</v>
      </c>
      <c r="AT47" s="1314" t="e">
        <f t="shared" si="31"/>
        <v>#N/A</v>
      </c>
      <c r="AU47" s="1314" t="e">
        <f t="shared" si="32"/>
        <v>#N/A</v>
      </c>
      <c r="AV47" s="1314" t="e">
        <f t="shared" si="33"/>
        <v>#N/A</v>
      </c>
      <c r="AW47" s="1314" t="e">
        <f t="shared" si="34"/>
        <v>#N/A</v>
      </c>
      <c r="AX47" s="1314" t="e">
        <f t="shared" si="35"/>
        <v>#N/A</v>
      </c>
      <c r="AY47" s="1314" t="e">
        <f t="shared" si="36"/>
        <v>#N/A</v>
      </c>
      <c r="AZ47" s="1314" t="e">
        <f t="shared" si="37"/>
        <v>#N/A</v>
      </c>
      <c r="BA47" s="1314" t="e">
        <f t="shared" si="38"/>
        <v>#N/A</v>
      </c>
      <c r="BB47" s="1314" t="e">
        <f t="shared" si="39"/>
        <v>#N/A</v>
      </c>
      <c r="BC47" s="1314" t="e">
        <f t="shared" si="40"/>
        <v>#N/A</v>
      </c>
      <c r="BD47" s="1314" t="e">
        <f t="shared" si="41"/>
        <v>#N/A</v>
      </c>
      <c r="BE47" s="1314" t="e">
        <f t="shared" si="42"/>
        <v>#N/A</v>
      </c>
      <c r="BF47" s="1314" t="e">
        <f t="shared" si="43"/>
        <v>#N/A</v>
      </c>
      <c r="BG47" s="1314" t="e">
        <f t="shared" si="44"/>
        <v>#N/A</v>
      </c>
      <c r="BH47" s="1314" t="e">
        <f t="shared" si="45"/>
        <v>#N/A</v>
      </c>
      <c r="BI47" s="1314" t="e">
        <f t="shared" si="46"/>
        <v>#N/A</v>
      </c>
      <c r="BJ47" s="1314" t="e">
        <f t="shared" si="47"/>
        <v>#N/A</v>
      </c>
      <c r="BK47" s="1314" t="e">
        <f t="shared" si="48"/>
        <v>#N/A</v>
      </c>
      <c r="BL47" s="1314" t="e">
        <f t="shared" si="49"/>
        <v>#N/A</v>
      </c>
      <c r="BM47" s="1314" t="e">
        <f t="shared" si="50"/>
        <v>#N/A</v>
      </c>
      <c r="BN47" s="1314" t="e">
        <f t="shared" si="51"/>
        <v>#N/A</v>
      </c>
      <c r="BO47" s="1314" t="e">
        <f t="shared" si="52"/>
        <v>#N/A</v>
      </c>
      <c r="BP47" s="1314" t="e">
        <f t="shared" si="53"/>
        <v>#N/A</v>
      </c>
      <c r="BQ47" s="1314" t="e">
        <f t="shared" si="54"/>
        <v>#N/A</v>
      </c>
      <c r="BR47" s="1314" t="e">
        <f t="shared" si="55"/>
        <v>#N/A</v>
      </c>
      <c r="BS47" s="1314" t="e">
        <f t="shared" si="56"/>
        <v>#N/A</v>
      </c>
      <c r="BT47" s="1314" t="e">
        <f t="shared" si="57"/>
        <v>#N/A</v>
      </c>
      <c r="BU47" s="1314" t="e">
        <f t="shared" si="58"/>
        <v>#N/A</v>
      </c>
      <c r="BV47" s="1314" t="e">
        <f t="shared" si="59"/>
        <v>#N/A</v>
      </c>
      <c r="BW47" s="1314" t="e">
        <f t="shared" si="60"/>
        <v>#N/A</v>
      </c>
      <c r="BX47" s="1314" t="e">
        <f t="shared" si="61"/>
        <v>#N/A</v>
      </c>
      <c r="BY47" s="1314" t="e">
        <f t="shared" si="62"/>
        <v>#N/A</v>
      </c>
      <c r="BZ47" s="1315"/>
      <c r="CA47" s="1315"/>
      <c r="CB47" s="1315"/>
      <c r="CC47" s="1315"/>
      <c r="CD47" s="1315"/>
      <c r="CE47" s="1315"/>
      <c r="CF47" s="1315"/>
      <c r="CG47" s="1315"/>
      <c r="CH47" s="1315"/>
      <c r="CI47" s="1315"/>
      <c r="CJ47" s="1315"/>
      <c r="CK47" s="1315"/>
      <c r="CL47" s="1315"/>
      <c r="CM47" s="1315"/>
      <c r="CN47" s="1315"/>
      <c r="CO47" s="1315"/>
      <c r="CP47" s="1315"/>
      <c r="CQ47" s="1315"/>
      <c r="CR47" s="1315"/>
      <c r="CS47" s="1315"/>
      <c r="CT47" s="1315"/>
      <c r="CU47" s="1315"/>
      <c r="CV47" s="1315"/>
      <c r="CW47" s="1315"/>
      <c r="CX47" s="1315"/>
      <c r="CY47" s="1315"/>
      <c r="CZ47" s="1315"/>
      <c r="DA47" s="1315"/>
      <c r="DB47" s="1315"/>
      <c r="DC47" s="1315"/>
      <c r="DD47" s="1315"/>
      <c r="DE47" s="1315"/>
      <c r="DF47" s="1315"/>
      <c r="DG47" s="1315"/>
      <c r="DH47" s="1315"/>
      <c r="DI47" s="1315"/>
      <c r="DJ47" s="1315"/>
      <c r="DK47" s="1315"/>
      <c r="DL47" s="1315"/>
      <c r="DM47" s="1315"/>
      <c r="DN47" s="1315"/>
      <c r="DO47" s="1315"/>
      <c r="DP47" s="1315"/>
      <c r="DQ47" s="1315"/>
      <c r="DR47" s="1315"/>
      <c r="DS47" s="1315"/>
      <c r="DT47" s="1315"/>
      <c r="DU47" s="1315"/>
      <c r="DV47" s="1315"/>
      <c r="DW47" s="1315"/>
      <c r="DX47" s="1315"/>
      <c r="DY47" s="1315"/>
      <c r="DZ47" s="1315"/>
      <c r="EA47" s="1315"/>
      <c r="EB47" s="1315"/>
      <c r="EC47" s="1315"/>
      <c r="ED47" s="1315"/>
      <c r="EE47" s="1315"/>
      <c r="EF47" s="1315"/>
      <c r="EG47" s="1315"/>
      <c r="EH47" s="1315"/>
      <c r="EI47" s="1315"/>
      <c r="EJ47" s="1315"/>
      <c r="EK47" s="1315"/>
      <c r="EL47" s="1315"/>
      <c r="EM47" s="1315"/>
      <c r="EN47" s="1315"/>
      <c r="EO47" s="1315"/>
      <c r="EP47" s="1315"/>
      <c r="EQ47" s="1315"/>
      <c r="ER47" s="1315"/>
      <c r="ES47" s="1315"/>
      <c r="ET47" s="1315"/>
      <c r="EU47" s="1315"/>
      <c r="EV47" s="1315"/>
      <c r="EW47" s="1315"/>
      <c r="EX47" s="1315"/>
      <c r="EY47" s="1315"/>
      <c r="EZ47" s="1315"/>
      <c r="FA47" s="1315"/>
      <c r="FB47" s="1315"/>
      <c r="FC47" s="1315"/>
      <c r="FD47" s="1315"/>
      <c r="FE47" s="1315"/>
      <c r="FF47" s="1315"/>
      <c r="FG47" s="1315"/>
      <c r="FH47" s="1315"/>
      <c r="FI47" s="1315"/>
      <c r="FJ47" s="1315"/>
      <c r="FK47" s="1315"/>
      <c r="FL47" s="1315"/>
      <c r="FM47" s="1315"/>
      <c r="FN47" s="1315"/>
      <c r="FO47" s="1315"/>
      <c r="FP47" s="1315"/>
      <c r="FQ47" s="1315"/>
      <c r="FR47" s="1315"/>
      <c r="FS47" s="1315"/>
      <c r="FT47" s="1315"/>
      <c r="FU47" s="1315"/>
      <c r="FV47" s="1315"/>
      <c r="FW47" s="1315"/>
      <c r="FX47" s="1315"/>
      <c r="FY47" s="1315"/>
      <c r="FZ47" s="1315"/>
      <c r="GA47" s="1315"/>
      <c r="GB47" s="1315"/>
      <c r="GC47" s="1315"/>
      <c r="GD47" s="1315"/>
      <c r="GE47" s="1315"/>
      <c r="GF47" s="1315"/>
      <c r="GG47" s="1315"/>
      <c r="GH47" s="1315"/>
      <c r="GI47" s="1315"/>
      <c r="GJ47" s="1315"/>
      <c r="GK47" s="1315"/>
      <c r="GL47" s="1315"/>
      <c r="GM47" s="1315"/>
      <c r="GN47" s="1315"/>
      <c r="GO47" s="1315"/>
      <c r="GP47" s="1315"/>
      <c r="GQ47" s="1315"/>
      <c r="GR47" s="1315"/>
      <c r="GS47" s="1315"/>
      <c r="GT47" s="1315"/>
      <c r="GU47" s="1315"/>
      <c r="GV47" s="1315"/>
      <c r="GW47" s="1315"/>
      <c r="GX47" s="1315"/>
      <c r="GY47" s="1315"/>
      <c r="GZ47" s="1315"/>
      <c r="HA47" s="1315"/>
      <c r="HB47" s="1315"/>
      <c r="HC47" s="1315"/>
      <c r="HD47" s="1315"/>
      <c r="HE47" s="1315"/>
      <c r="HF47" s="1315"/>
      <c r="HG47" s="1315"/>
      <c r="HH47" s="1315"/>
      <c r="HI47" s="1315"/>
      <c r="HJ47" s="1315"/>
      <c r="HK47" s="1315"/>
      <c r="HL47" s="1315"/>
      <c r="HM47" s="1315"/>
      <c r="HN47" s="1315"/>
      <c r="HO47" s="1315"/>
      <c r="HP47" s="1315"/>
      <c r="HQ47" s="1315"/>
      <c r="HR47" s="1315"/>
      <c r="HS47" s="1315"/>
      <c r="HT47" s="1315"/>
      <c r="HU47" s="1315"/>
      <c r="HV47" s="1315"/>
      <c r="HW47" s="1315"/>
      <c r="HX47" s="1315"/>
      <c r="HY47" s="1315"/>
      <c r="HZ47" s="1315"/>
      <c r="IA47" s="1315"/>
      <c r="IB47" s="1315"/>
      <c r="IC47" s="1315"/>
      <c r="ID47" s="1315"/>
      <c r="IE47" s="1315"/>
      <c r="IF47" s="1315"/>
      <c r="IG47" s="1315"/>
      <c r="IH47" s="1315"/>
      <c r="II47" s="1315"/>
      <c r="IJ47" s="1315"/>
    </row>
    <row r="48" spans="1:244" s="53" customFormat="1" ht="12" x14ac:dyDescent="0.2">
      <c r="A48" s="444">
        <f t="shared" si="65"/>
        <v>37</v>
      </c>
      <c r="B48" s="1312">
        <v>7100</v>
      </c>
      <c r="C48" s="1313">
        <f t="shared" si="66"/>
        <v>33500</v>
      </c>
      <c r="D48" s="1313">
        <f t="shared" si="9"/>
        <v>34840</v>
      </c>
      <c r="E48" s="1313">
        <f t="shared" ref="E48:Y48" si="92">ROUNDUP(D48*(E$10+1),0)</f>
        <v>36339</v>
      </c>
      <c r="F48" s="1313">
        <f t="shared" si="92"/>
        <v>37430</v>
      </c>
      <c r="G48" s="1313">
        <f t="shared" si="92"/>
        <v>38815</v>
      </c>
      <c r="H48" s="1313">
        <f t="shared" si="92"/>
        <v>40368</v>
      </c>
      <c r="I48" s="1313">
        <f t="shared" si="92"/>
        <v>41983</v>
      </c>
      <c r="J48" s="1314">
        <f t="shared" si="92"/>
        <v>43663</v>
      </c>
      <c r="K48" s="1314" t="e">
        <f t="shared" si="92"/>
        <v>#N/A</v>
      </c>
      <c r="L48" s="1314" t="e">
        <f t="shared" si="92"/>
        <v>#N/A</v>
      </c>
      <c r="M48" s="1314" t="e">
        <f t="shared" si="92"/>
        <v>#N/A</v>
      </c>
      <c r="N48" s="1314" t="e">
        <f t="shared" si="92"/>
        <v>#N/A</v>
      </c>
      <c r="O48" s="1314" t="e">
        <f t="shared" si="92"/>
        <v>#N/A</v>
      </c>
      <c r="P48" s="1314" t="e">
        <f t="shared" si="92"/>
        <v>#N/A</v>
      </c>
      <c r="Q48" s="1314" t="e">
        <f t="shared" si="92"/>
        <v>#N/A</v>
      </c>
      <c r="R48" s="1314" t="e">
        <f t="shared" si="92"/>
        <v>#N/A</v>
      </c>
      <c r="S48" s="1314" t="e">
        <f t="shared" si="92"/>
        <v>#N/A</v>
      </c>
      <c r="T48" s="1314" t="e">
        <f t="shared" si="92"/>
        <v>#N/A</v>
      </c>
      <c r="U48" s="1314" t="e">
        <f t="shared" si="92"/>
        <v>#N/A</v>
      </c>
      <c r="V48" s="1314" t="e">
        <f t="shared" si="92"/>
        <v>#N/A</v>
      </c>
      <c r="W48" s="1314" t="e">
        <f t="shared" si="92"/>
        <v>#N/A</v>
      </c>
      <c r="X48" s="1314" t="e">
        <f t="shared" si="92"/>
        <v>#N/A</v>
      </c>
      <c r="Y48" s="1314" t="e">
        <f t="shared" si="92"/>
        <v>#N/A</v>
      </c>
      <c r="Z48" s="1314" t="e">
        <f t="shared" si="11"/>
        <v>#N/A</v>
      </c>
      <c r="AA48" s="1314" t="e">
        <f t="shared" si="12"/>
        <v>#N/A</v>
      </c>
      <c r="AB48" s="1314" t="e">
        <f t="shared" si="13"/>
        <v>#N/A</v>
      </c>
      <c r="AC48" s="1314" t="e">
        <f t="shared" si="14"/>
        <v>#N/A</v>
      </c>
      <c r="AD48" s="1314" t="e">
        <f t="shared" si="15"/>
        <v>#N/A</v>
      </c>
      <c r="AE48" s="1314" t="e">
        <f t="shared" si="16"/>
        <v>#N/A</v>
      </c>
      <c r="AF48" s="1314" t="e">
        <f t="shared" si="17"/>
        <v>#N/A</v>
      </c>
      <c r="AG48" s="1314" t="e">
        <f t="shared" si="18"/>
        <v>#N/A</v>
      </c>
      <c r="AH48" s="1314" t="e">
        <f t="shared" si="19"/>
        <v>#N/A</v>
      </c>
      <c r="AI48" s="1314" t="e">
        <f t="shared" si="20"/>
        <v>#N/A</v>
      </c>
      <c r="AJ48" s="1314" t="e">
        <f t="shared" si="21"/>
        <v>#N/A</v>
      </c>
      <c r="AK48" s="1314" t="e">
        <f t="shared" si="22"/>
        <v>#N/A</v>
      </c>
      <c r="AL48" s="1314" t="e">
        <f t="shared" si="23"/>
        <v>#N/A</v>
      </c>
      <c r="AM48" s="1314" t="e">
        <f t="shared" si="24"/>
        <v>#N/A</v>
      </c>
      <c r="AN48" s="1314" t="e">
        <f t="shared" si="25"/>
        <v>#N/A</v>
      </c>
      <c r="AO48" s="1314" t="e">
        <f t="shared" si="26"/>
        <v>#N/A</v>
      </c>
      <c r="AP48" s="1314" t="e">
        <f t="shared" si="27"/>
        <v>#N/A</v>
      </c>
      <c r="AQ48" s="1314" t="e">
        <f t="shared" si="28"/>
        <v>#N/A</v>
      </c>
      <c r="AR48" s="1314" t="e">
        <f t="shared" si="29"/>
        <v>#N/A</v>
      </c>
      <c r="AS48" s="1314" t="e">
        <f t="shared" si="30"/>
        <v>#N/A</v>
      </c>
      <c r="AT48" s="1314" t="e">
        <f t="shared" si="31"/>
        <v>#N/A</v>
      </c>
      <c r="AU48" s="1314" t="e">
        <f t="shared" si="32"/>
        <v>#N/A</v>
      </c>
      <c r="AV48" s="1314" t="e">
        <f t="shared" si="33"/>
        <v>#N/A</v>
      </c>
      <c r="AW48" s="1314" t="e">
        <f t="shared" si="34"/>
        <v>#N/A</v>
      </c>
      <c r="AX48" s="1314" t="e">
        <f t="shared" si="35"/>
        <v>#N/A</v>
      </c>
      <c r="AY48" s="1314" t="e">
        <f t="shared" si="36"/>
        <v>#N/A</v>
      </c>
      <c r="AZ48" s="1314" t="e">
        <f t="shared" si="37"/>
        <v>#N/A</v>
      </c>
      <c r="BA48" s="1314" t="e">
        <f t="shared" si="38"/>
        <v>#N/A</v>
      </c>
      <c r="BB48" s="1314" t="e">
        <f t="shared" si="39"/>
        <v>#N/A</v>
      </c>
      <c r="BC48" s="1314" t="e">
        <f t="shared" si="40"/>
        <v>#N/A</v>
      </c>
      <c r="BD48" s="1314" t="e">
        <f t="shared" si="41"/>
        <v>#N/A</v>
      </c>
      <c r="BE48" s="1314" t="e">
        <f t="shared" si="42"/>
        <v>#N/A</v>
      </c>
      <c r="BF48" s="1314" t="e">
        <f t="shared" si="43"/>
        <v>#N/A</v>
      </c>
      <c r="BG48" s="1314" t="e">
        <f t="shared" si="44"/>
        <v>#N/A</v>
      </c>
      <c r="BH48" s="1314" t="e">
        <f t="shared" si="45"/>
        <v>#N/A</v>
      </c>
      <c r="BI48" s="1314" t="e">
        <f t="shared" si="46"/>
        <v>#N/A</v>
      </c>
      <c r="BJ48" s="1314" t="e">
        <f t="shared" si="47"/>
        <v>#N/A</v>
      </c>
      <c r="BK48" s="1314" t="e">
        <f t="shared" si="48"/>
        <v>#N/A</v>
      </c>
      <c r="BL48" s="1314" t="e">
        <f t="shared" si="49"/>
        <v>#N/A</v>
      </c>
      <c r="BM48" s="1314" t="e">
        <f t="shared" si="50"/>
        <v>#N/A</v>
      </c>
      <c r="BN48" s="1314" t="e">
        <f t="shared" si="51"/>
        <v>#N/A</v>
      </c>
      <c r="BO48" s="1314" t="e">
        <f t="shared" si="52"/>
        <v>#N/A</v>
      </c>
      <c r="BP48" s="1314" t="e">
        <f t="shared" si="53"/>
        <v>#N/A</v>
      </c>
      <c r="BQ48" s="1314" t="e">
        <f t="shared" si="54"/>
        <v>#N/A</v>
      </c>
      <c r="BR48" s="1314" t="e">
        <f t="shared" si="55"/>
        <v>#N/A</v>
      </c>
      <c r="BS48" s="1314" t="e">
        <f t="shared" si="56"/>
        <v>#N/A</v>
      </c>
      <c r="BT48" s="1314" t="e">
        <f t="shared" si="57"/>
        <v>#N/A</v>
      </c>
      <c r="BU48" s="1314" t="e">
        <f t="shared" si="58"/>
        <v>#N/A</v>
      </c>
      <c r="BV48" s="1314" t="e">
        <f t="shared" si="59"/>
        <v>#N/A</v>
      </c>
      <c r="BW48" s="1314" t="e">
        <f t="shared" si="60"/>
        <v>#N/A</v>
      </c>
      <c r="BX48" s="1314" t="e">
        <f t="shared" si="61"/>
        <v>#N/A</v>
      </c>
      <c r="BY48" s="1314" t="e">
        <f t="shared" si="62"/>
        <v>#N/A</v>
      </c>
      <c r="BZ48" s="1315"/>
      <c r="CA48" s="1315"/>
      <c r="CB48" s="1315"/>
      <c r="CC48" s="1315"/>
      <c r="CD48" s="1315"/>
      <c r="CE48" s="1315"/>
      <c r="CF48" s="1315"/>
      <c r="CG48" s="1315"/>
      <c r="CH48" s="1315"/>
      <c r="CI48" s="1315"/>
      <c r="CJ48" s="1315"/>
      <c r="CK48" s="1315"/>
      <c r="CL48" s="1315"/>
      <c r="CM48" s="1315"/>
      <c r="CN48" s="1315"/>
      <c r="CO48" s="1315"/>
      <c r="CP48" s="1315"/>
      <c r="CQ48" s="1315"/>
      <c r="CR48" s="1315"/>
      <c r="CS48" s="1315"/>
      <c r="CT48" s="1315"/>
      <c r="CU48" s="1315"/>
      <c r="CV48" s="1315"/>
      <c r="CW48" s="1315"/>
      <c r="CX48" s="1315"/>
      <c r="CY48" s="1315"/>
      <c r="CZ48" s="1315"/>
      <c r="DA48" s="1315"/>
      <c r="DB48" s="1315"/>
      <c r="DC48" s="1315"/>
      <c r="DD48" s="1315"/>
      <c r="DE48" s="1315"/>
      <c r="DF48" s="1315"/>
      <c r="DG48" s="1315"/>
      <c r="DH48" s="1315"/>
      <c r="DI48" s="1315"/>
      <c r="DJ48" s="1315"/>
      <c r="DK48" s="1315"/>
      <c r="DL48" s="1315"/>
      <c r="DM48" s="1315"/>
      <c r="DN48" s="1315"/>
      <c r="DO48" s="1315"/>
      <c r="DP48" s="1315"/>
      <c r="DQ48" s="1315"/>
      <c r="DR48" s="1315"/>
      <c r="DS48" s="1315"/>
      <c r="DT48" s="1315"/>
      <c r="DU48" s="1315"/>
      <c r="DV48" s="1315"/>
      <c r="DW48" s="1315"/>
      <c r="DX48" s="1315"/>
      <c r="DY48" s="1315"/>
      <c r="DZ48" s="1315"/>
      <c r="EA48" s="1315"/>
      <c r="EB48" s="1315"/>
      <c r="EC48" s="1315"/>
      <c r="ED48" s="1315"/>
      <c r="EE48" s="1315"/>
      <c r="EF48" s="1315"/>
      <c r="EG48" s="1315"/>
      <c r="EH48" s="1315"/>
      <c r="EI48" s="1315"/>
      <c r="EJ48" s="1315"/>
      <c r="EK48" s="1315"/>
      <c r="EL48" s="1315"/>
      <c r="EM48" s="1315"/>
      <c r="EN48" s="1315"/>
      <c r="EO48" s="1315"/>
      <c r="EP48" s="1315"/>
      <c r="EQ48" s="1315"/>
      <c r="ER48" s="1315"/>
      <c r="ES48" s="1315"/>
      <c r="ET48" s="1315"/>
      <c r="EU48" s="1315"/>
      <c r="EV48" s="1315"/>
      <c r="EW48" s="1315"/>
      <c r="EX48" s="1315"/>
      <c r="EY48" s="1315"/>
      <c r="EZ48" s="1315"/>
      <c r="FA48" s="1315"/>
      <c r="FB48" s="1315"/>
      <c r="FC48" s="1315"/>
      <c r="FD48" s="1315"/>
      <c r="FE48" s="1315"/>
      <c r="FF48" s="1315"/>
      <c r="FG48" s="1315"/>
      <c r="FH48" s="1315"/>
      <c r="FI48" s="1315"/>
      <c r="FJ48" s="1315"/>
      <c r="FK48" s="1315"/>
      <c r="FL48" s="1315"/>
      <c r="FM48" s="1315"/>
      <c r="FN48" s="1315"/>
      <c r="FO48" s="1315"/>
      <c r="FP48" s="1315"/>
      <c r="FQ48" s="1315"/>
      <c r="FR48" s="1315"/>
      <c r="FS48" s="1315"/>
      <c r="FT48" s="1315"/>
      <c r="FU48" s="1315"/>
      <c r="FV48" s="1315"/>
      <c r="FW48" s="1315"/>
      <c r="FX48" s="1315"/>
      <c r="FY48" s="1315"/>
      <c r="FZ48" s="1315"/>
      <c r="GA48" s="1315"/>
      <c r="GB48" s="1315"/>
      <c r="GC48" s="1315"/>
      <c r="GD48" s="1315"/>
      <c r="GE48" s="1315"/>
      <c r="GF48" s="1315"/>
      <c r="GG48" s="1315"/>
      <c r="GH48" s="1315"/>
      <c r="GI48" s="1315"/>
      <c r="GJ48" s="1315"/>
      <c r="GK48" s="1315"/>
      <c r="GL48" s="1315"/>
      <c r="GM48" s="1315"/>
      <c r="GN48" s="1315"/>
      <c r="GO48" s="1315"/>
      <c r="GP48" s="1315"/>
      <c r="GQ48" s="1315"/>
      <c r="GR48" s="1315"/>
      <c r="GS48" s="1315"/>
      <c r="GT48" s="1315"/>
      <c r="GU48" s="1315"/>
      <c r="GV48" s="1315"/>
      <c r="GW48" s="1315"/>
      <c r="GX48" s="1315"/>
      <c r="GY48" s="1315"/>
      <c r="GZ48" s="1315"/>
      <c r="HA48" s="1315"/>
      <c r="HB48" s="1315"/>
      <c r="HC48" s="1315"/>
      <c r="HD48" s="1315"/>
      <c r="HE48" s="1315"/>
      <c r="HF48" s="1315"/>
      <c r="HG48" s="1315"/>
      <c r="HH48" s="1315"/>
      <c r="HI48" s="1315"/>
      <c r="HJ48" s="1315"/>
      <c r="HK48" s="1315"/>
      <c r="HL48" s="1315"/>
      <c r="HM48" s="1315"/>
      <c r="HN48" s="1315"/>
      <c r="HO48" s="1315"/>
      <c r="HP48" s="1315"/>
      <c r="HQ48" s="1315"/>
      <c r="HR48" s="1315"/>
      <c r="HS48" s="1315"/>
      <c r="HT48" s="1315"/>
      <c r="HU48" s="1315"/>
      <c r="HV48" s="1315"/>
      <c r="HW48" s="1315"/>
      <c r="HX48" s="1315"/>
      <c r="HY48" s="1315"/>
      <c r="HZ48" s="1315"/>
      <c r="IA48" s="1315"/>
      <c r="IB48" s="1315"/>
      <c r="IC48" s="1315"/>
      <c r="ID48" s="1315"/>
      <c r="IE48" s="1315"/>
      <c r="IF48" s="1315"/>
      <c r="IG48" s="1315"/>
      <c r="IH48" s="1315"/>
      <c r="II48" s="1315"/>
      <c r="IJ48" s="1315"/>
    </row>
    <row r="49" spans="1:244" s="53" customFormat="1" ht="12" x14ac:dyDescent="0.2">
      <c r="A49" s="444">
        <f t="shared" si="65"/>
        <v>38</v>
      </c>
      <c r="B49" s="1312">
        <v>7208</v>
      </c>
      <c r="C49" s="1313">
        <f t="shared" si="66"/>
        <v>34000</v>
      </c>
      <c r="D49" s="1313">
        <f t="shared" si="9"/>
        <v>35360</v>
      </c>
      <c r="E49" s="1313">
        <f t="shared" ref="E49:Y49" si="93">ROUNDUP(D49*(E$10+1),0)</f>
        <v>36881</v>
      </c>
      <c r="F49" s="1313">
        <f t="shared" si="93"/>
        <v>37988</v>
      </c>
      <c r="G49" s="1313">
        <f t="shared" si="93"/>
        <v>39394</v>
      </c>
      <c r="H49" s="1313">
        <f t="shared" si="93"/>
        <v>40970</v>
      </c>
      <c r="I49" s="1313">
        <f t="shared" si="93"/>
        <v>42609</v>
      </c>
      <c r="J49" s="1314">
        <f t="shared" si="93"/>
        <v>44314</v>
      </c>
      <c r="K49" s="1314" t="e">
        <f t="shared" si="93"/>
        <v>#N/A</v>
      </c>
      <c r="L49" s="1314" t="e">
        <f t="shared" si="93"/>
        <v>#N/A</v>
      </c>
      <c r="M49" s="1314" t="e">
        <f t="shared" si="93"/>
        <v>#N/A</v>
      </c>
      <c r="N49" s="1314" t="e">
        <f t="shared" si="93"/>
        <v>#N/A</v>
      </c>
      <c r="O49" s="1314" t="e">
        <f t="shared" si="93"/>
        <v>#N/A</v>
      </c>
      <c r="P49" s="1314" t="e">
        <f t="shared" si="93"/>
        <v>#N/A</v>
      </c>
      <c r="Q49" s="1314" t="e">
        <f t="shared" si="93"/>
        <v>#N/A</v>
      </c>
      <c r="R49" s="1314" t="e">
        <f t="shared" si="93"/>
        <v>#N/A</v>
      </c>
      <c r="S49" s="1314" t="e">
        <f t="shared" si="93"/>
        <v>#N/A</v>
      </c>
      <c r="T49" s="1314" t="e">
        <f t="shared" si="93"/>
        <v>#N/A</v>
      </c>
      <c r="U49" s="1314" t="e">
        <f t="shared" si="93"/>
        <v>#N/A</v>
      </c>
      <c r="V49" s="1314" t="e">
        <f t="shared" si="93"/>
        <v>#N/A</v>
      </c>
      <c r="W49" s="1314" t="e">
        <f t="shared" si="93"/>
        <v>#N/A</v>
      </c>
      <c r="X49" s="1314" t="e">
        <f t="shared" si="93"/>
        <v>#N/A</v>
      </c>
      <c r="Y49" s="1314" t="e">
        <f t="shared" si="93"/>
        <v>#N/A</v>
      </c>
      <c r="Z49" s="1314" t="e">
        <f t="shared" si="11"/>
        <v>#N/A</v>
      </c>
      <c r="AA49" s="1314" t="e">
        <f t="shared" si="12"/>
        <v>#N/A</v>
      </c>
      <c r="AB49" s="1314" t="e">
        <f t="shared" si="13"/>
        <v>#N/A</v>
      </c>
      <c r="AC49" s="1314" t="e">
        <f t="shared" si="14"/>
        <v>#N/A</v>
      </c>
      <c r="AD49" s="1314" t="e">
        <f t="shared" si="15"/>
        <v>#N/A</v>
      </c>
      <c r="AE49" s="1314" t="e">
        <f t="shared" si="16"/>
        <v>#N/A</v>
      </c>
      <c r="AF49" s="1314" t="e">
        <f t="shared" si="17"/>
        <v>#N/A</v>
      </c>
      <c r="AG49" s="1314" t="e">
        <f t="shared" si="18"/>
        <v>#N/A</v>
      </c>
      <c r="AH49" s="1314" t="e">
        <f t="shared" si="19"/>
        <v>#N/A</v>
      </c>
      <c r="AI49" s="1314" t="e">
        <f t="shared" si="20"/>
        <v>#N/A</v>
      </c>
      <c r="AJ49" s="1314" t="e">
        <f t="shared" si="21"/>
        <v>#N/A</v>
      </c>
      <c r="AK49" s="1314" t="e">
        <f t="shared" si="22"/>
        <v>#N/A</v>
      </c>
      <c r="AL49" s="1314" t="e">
        <f t="shared" si="23"/>
        <v>#N/A</v>
      </c>
      <c r="AM49" s="1314" t="e">
        <f t="shared" si="24"/>
        <v>#N/A</v>
      </c>
      <c r="AN49" s="1314" t="e">
        <f t="shared" si="25"/>
        <v>#N/A</v>
      </c>
      <c r="AO49" s="1314" t="e">
        <f t="shared" si="26"/>
        <v>#N/A</v>
      </c>
      <c r="AP49" s="1314" t="e">
        <f t="shared" si="27"/>
        <v>#N/A</v>
      </c>
      <c r="AQ49" s="1314" t="e">
        <f t="shared" si="28"/>
        <v>#N/A</v>
      </c>
      <c r="AR49" s="1314" t="e">
        <f t="shared" si="29"/>
        <v>#N/A</v>
      </c>
      <c r="AS49" s="1314" t="e">
        <f t="shared" si="30"/>
        <v>#N/A</v>
      </c>
      <c r="AT49" s="1314" t="e">
        <f t="shared" si="31"/>
        <v>#N/A</v>
      </c>
      <c r="AU49" s="1314" t="e">
        <f t="shared" si="32"/>
        <v>#N/A</v>
      </c>
      <c r="AV49" s="1314" t="e">
        <f t="shared" si="33"/>
        <v>#N/A</v>
      </c>
      <c r="AW49" s="1314" t="e">
        <f t="shared" si="34"/>
        <v>#N/A</v>
      </c>
      <c r="AX49" s="1314" t="e">
        <f t="shared" si="35"/>
        <v>#N/A</v>
      </c>
      <c r="AY49" s="1314" t="e">
        <f t="shared" si="36"/>
        <v>#N/A</v>
      </c>
      <c r="AZ49" s="1314" t="e">
        <f t="shared" si="37"/>
        <v>#N/A</v>
      </c>
      <c r="BA49" s="1314" t="e">
        <f t="shared" si="38"/>
        <v>#N/A</v>
      </c>
      <c r="BB49" s="1314" t="e">
        <f t="shared" si="39"/>
        <v>#N/A</v>
      </c>
      <c r="BC49" s="1314" t="e">
        <f t="shared" si="40"/>
        <v>#N/A</v>
      </c>
      <c r="BD49" s="1314" t="e">
        <f t="shared" si="41"/>
        <v>#N/A</v>
      </c>
      <c r="BE49" s="1314" t="e">
        <f t="shared" si="42"/>
        <v>#N/A</v>
      </c>
      <c r="BF49" s="1314" t="e">
        <f t="shared" si="43"/>
        <v>#N/A</v>
      </c>
      <c r="BG49" s="1314" t="e">
        <f t="shared" si="44"/>
        <v>#N/A</v>
      </c>
      <c r="BH49" s="1314" t="e">
        <f t="shared" si="45"/>
        <v>#N/A</v>
      </c>
      <c r="BI49" s="1314" t="e">
        <f t="shared" si="46"/>
        <v>#N/A</v>
      </c>
      <c r="BJ49" s="1314" t="e">
        <f t="shared" si="47"/>
        <v>#N/A</v>
      </c>
      <c r="BK49" s="1314" t="e">
        <f t="shared" si="48"/>
        <v>#N/A</v>
      </c>
      <c r="BL49" s="1314" t="e">
        <f t="shared" si="49"/>
        <v>#N/A</v>
      </c>
      <c r="BM49" s="1314" t="e">
        <f t="shared" si="50"/>
        <v>#N/A</v>
      </c>
      <c r="BN49" s="1314" t="e">
        <f t="shared" si="51"/>
        <v>#N/A</v>
      </c>
      <c r="BO49" s="1314" t="e">
        <f t="shared" si="52"/>
        <v>#N/A</v>
      </c>
      <c r="BP49" s="1314" t="e">
        <f t="shared" si="53"/>
        <v>#N/A</v>
      </c>
      <c r="BQ49" s="1314" t="e">
        <f t="shared" si="54"/>
        <v>#N/A</v>
      </c>
      <c r="BR49" s="1314" t="e">
        <f t="shared" si="55"/>
        <v>#N/A</v>
      </c>
      <c r="BS49" s="1314" t="e">
        <f t="shared" si="56"/>
        <v>#N/A</v>
      </c>
      <c r="BT49" s="1314" t="e">
        <f t="shared" si="57"/>
        <v>#N/A</v>
      </c>
      <c r="BU49" s="1314" t="e">
        <f t="shared" si="58"/>
        <v>#N/A</v>
      </c>
      <c r="BV49" s="1314" t="e">
        <f t="shared" si="59"/>
        <v>#N/A</v>
      </c>
      <c r="BW49" s="1314" t="e">
        <f t="shared" si="60"/>
        <v>#N/A</v>
      </c>
      <c r="BX49" s="1314" t="e">
        <f t="shared" si="61"/>
        <v>#N/A</v>
      </c>
      <c r="BY49" s="1314" t="e">
        <f t="shared" si="62"/>
        <v>#N/A</v>
      </c>
      <c r="BZ49" s="1315"/>
      <c r="CA49" s="1315"/>
      <c r="CB49" s="1315"/>
      <c r="CC49" s="1315"/>
      <c r="CD49" s="1315"/>
      <c r="CE49" s="1315"/>
      <c r="CF49" s="1315"/>
      <c r="CG49" s="1315"/>
      <c r="CH49" s="1315"/>
      <c r="CI49" s="1315"/>
      <c r="CJ49" s="1315"/>
      <c r="CK49" s="1315"/>
      <c r="CL49" s="1315"/>
      <c r="CM49" s="1315"/>
      <c r="CN49" s="1315"/>
      <c r="CO49" s="1315"/>
      <c r="CP49" s="1315"/>
      <c r="CQ49" s="1315"/>
      <c r="CR49" s="1315"/>
      <c r="CS49" s="1315"/>
      <c r="CT49" s="1315"/>
      <c r="CU49" s="1315"/>
      <c r="CV49" s="1315"/>
      <c r="CW49" s="1315"/>
      <c r="CX49" s="1315"/>
      <c r="CY49" s="1315"/>
      <c r="CZ49" s="1315"/>
      <c r="DA49" s="1315"/>
      <c r="DB49" s="1315"/>
      <c r="DC49" s="1315"/>
      <c r="DD49" s="1315"/>
      <c r="DE49" s="1315"/>
      <c r="DF49" s="1315"/>
      <c r="DG49" s="1315"/>
      <c r="DH49" s="1315"/>
      <c r="DI49" s="1315"/>
      <c r="DJ49" s="1315"/>
      <c r="DK49" s="1315"/>
      <c r="DL49" s="1315"/>
      <c r="DM49" s="1315"/>
      <c r="DN49" s="1315"/>
      <c r="DO49" s="1315"/>
      <c r="DP49" s="1315"/>
      <c r="DQ49" s="1315"/>
      <c r="DR49" s="1315"/>
      <c r="DS49" s="1315"/>
      <c r="DT49" s="1315"/>
      <c r="DU49" s="1315"/>
      <c r="DV49" s="1315"/>
      <c r="DW49" s="1315"/>
      <c r="DX49" s="1315"/>
      <c r="DY49" s="1315"/>
      <c r="DZ49" s="1315"/>
      <c r="EA49" s="1315"/>
      <c r="EB49" s="1315"/>
      <c r="EC49" s="1315"/>
      <c r="ED49" s="1315"/>
      <c r="EE49" s="1315"/>
      <c r="EF49" s="1315"/>
      <c r="EG49" s="1315"/>
      <c r="EH49" s="1315"/>
      <c r="EI49" s="1315"/>
      <c r="EJ49" s="1315"/>
      <c r="EK49" s="1315"/>
      <c r="EL49" s="1315"/>
      <c r="EM49" s="1315"/>
      <c r="EN49" s="1315"/>
      <c r="EO49" s="1315"/>
      <c r="EP49" s="1315"/>
      <c r="EQ49" s="1315"/>
      <c r="ER49" s="1315"/>
      <c r="ES49" s="1315"/>
      <c r="ET49" s="1315"/>
      <c r="EU49" s="1315"/>
      <c r="EV49" s="1315"/>
      <c r="EW49" s="1315"/>
      <c r="EX49" s="1315"/>
      <c r="EY49" s="1315"/>
      <c r="EZ49" s="1315"/>
      <c r="FA49" s="1315"/>
      <c r="FB49" s="1315"/>
      <c r="FC49" s="1315"/>
      <c r="FD49" s="1315"/>
      <c r="FE49" s="1315"/>
      <c r="FF49" s="1315"/>
      <c r="FG49" s="1315"/>
      <c r="FH49" s="1315"/>
      <c r="FI49" s="1315"/>
      <c r="FJ49" s="1315"/>
      <c r="FK49" s="1315"/>
      <c r="FL49" s="1315"/>
      <c r="FM49" s="1315"/>
      <c r="FN49" s="1315"/>
      <c r="FO49" s="1315"/>
      <c r="FP49" s="1315"/>
      <c r="FQ49" s="1315"/>
      <c r="FR49" s="1315"/>
      <c r="FS49" s="1315"/>
      <c r="FT49" s="1315"/>
      <c r="FU49" s="1315"/>
      <c r="FV49" s="1315"/>
      <c r="FW49" s="1315"/>
      <c r="FX49" s="1315"/>
      <c r="FY49" s="1315"/>
      <c r="FZ49" s="1315"/>
      <c r="GA49" s="1315"/>
      <c r="GB49" s="1315"/>
      <c r="GC49" s="1315"/>
      <c r="GD49" s="1315"/>
      <c r="GE49" s="1315"/>
      <c r="GF49" s="1315"/>
      <c r="GG49" s="1315"/>
      <c r="GH49" s="1315"/>
      <c r="GI49" s="1315"/>
      <c r="GJ49" s="1315"/>
      <c r="GK49" s="1315"/>
      <c r="GL49" s="1315"/>
      <c r="GM49" s="1315"/>
      <c r="GN49" s="1315"/>
      <c r="GO49" s="1315"/>
      <c r="GP49" s="1315"/>
      <c r="GQ49" s="1315"/>
      <c r="GR49" s="1315"/>
      <c r="GS49" s="1315"/>
      <c r="GT49" s="1315"/>
      <c r="GU49" s="1315"/>
      <c r="GV49" s="1315"/>
      <c r="GW49" s="1315"/>
      <c r="GX49" s="1315"/>
      <c r="GY49" s="1315"/>
      <c r="GZ49" s="1315"/>
      <c r="HA49" s="1315"/>
      <c r="HB49" s="1315"/>
      <c r="HC49" s="1315"/>
      <c r="HD49" s="1315"/>
      <c r="HE49" s="1315"/>
      <c r="HF49" s="1315"/>
      <c r="HG49" s="1315"/>
      <c r="HH49" s="1315"/>
      <c r="HI49" s="1315"/>
      <c r="HJ49" s="1315"/>
      <c r="HK49" s="1315"/>
      <c r="HL49" s="1315"/>
      <c r="HM49" s="1315"/>
      <c r="HN49" s="1315"/>
      <c r="HO49" s="1315"/>
      <c r="HP49" s="1315"/>
      <c r="HQ49" s="1315"/>
      <c r="HR49" s="1315"/>
      <c r="HS49" s="1315"/>
      <c r="HT49" s="1315"/>
      <c r="HU49" s="1315"/>
      <c r="HV49" s="1315"/>
      <c r="HW49" s="1315"/>
      <c r="HX49" s="1315"/>
      <c r="HY49" s="1315"/>
      <c r="HZ49" s="1315"/>
      <c r="IA49" s="1315"/>
      <c r="IB49" s="1315"/>
      <c r="IC49" s="1315"/>
      <c r="ID49" s="1315"/>
      <c r="IE49" s="1315"/>
      <c r="IF49" s="1315"/>
      <c r="IG49" s="1315"/>
      <c r="IH49" s="1315"/>
      <c r="II49" s="1315"/>
      <c r="IJ49" s="1315"/>
    </row>
    <row r="50" spans="1:244" s="53" customFormat="1" ht="12" x14ac:dyDescent="0.2">
      <c r="A50" s="444">
        <f t="shared" si="65"/>
        <v>39</v>
      </c>
      <c r="B50" s="1312">
        <v>7319</v>
      </c>
      <c r="C50" s="1313">
        <f t="shared" si="66"/>
        <v>34500</v>
      </c>
      <c r="D50" s="1313">
        <f t="shared" si="9"/>
        <v>35880</v>
      </c>
      <c r="E50" s="1313">
        <f t="shared" ref="E50:Y50" si="94">ROUNDUP(D50*(E$10+1),0)</f>
        <v>37423</v>
      </c>
      <c r="F50" s="1313">
        <f t="shared" si="94"/>
        <v>38546</v>
      </c>
      <c r="G50" s="1313">
        <f t="shared" si="94"/>
        <v>39973</v>
      </c>
      <c r="H50" s="1313">
        <f t="shared" si="94"/>
        <v>41572</v>
      </c>
      <c r="I50" s="1313">
        <f t="shared" si="94"/>
        <v>43235</v>
      </c>
      <c r="J50" s="1314">
        <f t="shared" si="94"/>
        <v>44965</v>
      </c>
      <c r="K50" s="1314" t="e">
        <f t="shared" si="94"/>
        <v>#N/A</v>
      </c>
      <c r="L50" s="1314" t="e">
        <f t="shared" si="94"/>
        <v>#N/A</v>
      </c>
      <c r="M50" s="1314" t="e">
        <f t="shared" si="94"/>
        <v>#N/A</v>
      </c>
      <c r="N50" s="1314" t="e">
        <f t="shared" si="94"/>
        <v>#N/A</v>
      </c>
      <c r="O50" s="1314" t="e">
        <f t="shared" si="94"/>
        <v>#N/A</v>
      </c>
      <c r="P50" s="1314" t="e">
        <f t="shared" si="94"/>
        <v>#N/A</v>
      </c>
      <c r="Q50" s="1314" t="e">
        <f t="shared" si="94"/>
        <v>#N/A</v>
      </c>
      <c r="R50" s="1314" t="e">
        <f t="shared" si="94"/>
        <v>#N/A</v>
      </c>
      <c r="S50" s="1314" t="e">
        <f t="shared" si="94"/>
        <v>#N/A</v>
      </c>
      <c r="T50" s="1314" t="e">
        <f t="shared" si="94"/>
        <v>#N/A</v>
      </c>
      <c r="U50" s="1314" t="e">
        <f t="shared" si="94"/>
        <v>#N/A</v>
      </c>
      <c r="V50" s="1314" t="e">
        <f t="shared" si="94"/>
        <v>#N/A</v>
      </c>
      <c r="W50" s="1314" t="e">
        <f t="shared" si="94"/>
        <v>#N/A</v>
      </c>
      <c r="X50" s="1314" t="e">
        <f t="shared" si="94"/>
        <v>#N/A</v>
      </c>
      <c r="Y50" s="1314" t="e">
        <f t="shared" si="94"/>
        <v>#N/A</v>
      </c>
      <c r="Z50" s="1314" t="e">
        <f t="shared" si="11"/>
        <v>#N/A</v>
      </c>
      <c r="AA50" s="1314" t="e">
        <f t="shared" si="12"/>
        <v>#N/A</v>
      </c>
      <c r="AB50" s="1314" t="e">
        <f t="shared" si="13"/>
        <v>#N/A</v>
      </c>
      <c r="AC50" s="1314" t="e">
        <f t="shared" si="14"/>
        <v>#N/A</v>
      </c>
      <c r="AD50" s="1314" t="e">
        <f t="shared" si="15"/>
        <v>#N/A</v>
      </c>
      <c r="AE50" s="1314" t="e">
        <f t="shared" si="16"/>
        <v>#N/A</v>
      </c>
      <c r="AF50" s="1314" t="e">
        <f t="shared" si="17"/>
        <v>#N/A</v>
      </c>
      <c r="AG50" s="1314" t="e">
        <f t="shared" si="18"/>
        <v>#N/A</v>
      </c>
      <c r="AH50" s="1314" t="e">
        <f t="shared" si="19"/>
        <v>#N/A</v>
      </c>
      <c r="AI50" s="1314" t="e">
        <f t="shared" si="20"/>
        <v>#N/A</v>
      </c>
      <c r="AJ50" s="1314" t="e">
        <f t="shared" si="21"/>
        <v>#N/A</v>
      </c>
      <c r="AK50" s="1314" t="e">
        <f t="shared" si="22"/>
        <v>#N/A</v>
      </c>
      <c r="AL50" s="1314" t="e">
        <f t="shared" si="23"/>
        <v>#N/A</v>
      </c>
      <c r="AM50" s="1314" t="e">
        <f t="shared" si="24"/>
        <v>#N/A</v>
      </c>
      <c r="AN50" s="1314" t="e">
        <f t="shared" si="25"/>
        <v>#N/A</v>
      </c>
      <c r="AO50" s="1314" t="e">
        <f t="shared" si="26"/>
        <v>#N/A</v>
      </c>
      <c r="AP50" s="1314" t="e">
        <f t="shared" si="27"/>
        <v>#N/A</v>
      </c>
      <c r="AQ50" s="1314" t="e">
        <f t="shared" si="28"/>
        <v>#N/A</v>
      </c>
      <c r="AR50" s="1314" t="e">
        <f t="shared" si="29"/>
        <v>#N/A</v>
      </c>
      <c r="AS50" s="1314" t="e">
        <f t="shared" si="30"/>
        <v>#N/A</v>
      </c>
      <c r="AT50" s="1314" t="e">
        <f t="shared" si="31"/>
        <v>#N/A</v>
      </c>
      <c r="AU50" s="1314" t="e">
        <f t="shared" si="32"/>
        <v>#N/A</v>
      </c>
      <c r="AV50" s="1314" t="e">
        <f t="shared" si="33"/>
        <v>#N/A</v>
      </c>
      <c r="AW50" s="1314" t="e">
        <f t="shared" si="34"/>
        <v>#N/A</v>
      </c>
      <c r="AX50" s="1314" t="e">
        <f t="shared" si="35"/>
        <v>#N/A</v>
      </c>
      <c r="AY50" s="1314" t="e">
        <f t="shared" si="36"/>
        <v>#N/A</v>
      </c>
      <c r="AZ50" s="1314" t="e">
        <f t="shared" si="37"/>
        <v>#N/A</v>
      </c>
      <c r="BA50" s="1314" t="e">
        <f t="shared" si="38"/>
        <v>#N/A</v>
      </c>
      <c r="BB50" s="1314" t="e">
        <f t="shared" si="39"/>
        <v>#N/A</v>
      </c>
      <c r="BC50" s="1314" t="e">
        <f t="shared" si="40"/>
        <v>#N/A</v>
      </c>
      <c r="BD50" s="1314" t="e">
        <f t="shared" si="41"/>
        <v>#N/A</v>
      </c>
      <c r="BE50" s="1314" t="e">
        <f t="shared" si="42"/>
        <v>#N/A</v>
      </c>
      <c r="BF50" s="1314" t="e">
        <f t="shared" si="43"/>
        <v>#N/A</v>
      </c>
      <c r="BG50" s="1314" t="e">
        <f t="shared" si="44"/>
        <v>#N/A</v>
      </c>
      <c r="BH50" s="1314" t="e">
        <f t="shared" si="45"/>
        <v>#N/A</v>
      </c>
      <c r="BI50" s="1314" t="e">
        <f t="shared" si="46"/>
        <v>#N/A</v>
      </c>
      <c r="BJ50" s="1314" t="e">
        <f t="shared" si="47"/>
        <v>#N/A</v>
      </c>
      <c r="BK50" s="1314" t="e">
        <f t="shared" si="48"/>
        <v>#N/A</v>
      </c>
      <c r="BL50" s="1314" t="e">
        <f t="shared" si="49"/>
        <v>#N/A</v>
      </c>
      <c r="BM50" s="1314" t="e">
        <f t="shared" si="50"/>
        <v>#N/A</v>
      </c>
      <c r="BN50" s="1314" t="e">
        <f t="shared" si="51"/>
        <v>#N/A</v>
      </c>
      <c r="BO50" s="1314" t="e">
        <f t="shared" si="52"/>
        <v>#N/A</v>
      </c>
      <c r="BP50" s="1314" t="e">
        <f t="shared" si="53"/>
        <v>#N/A</v>
      </c>
      <c r="BQ50" s="1314" t="e">
        <f t="shared" si="54"/>
        <v>#N/A</v>
      </c>
      <c r="BR50" s="1314" t="e">
        <f t="shared" si="55"/>
        <v>#N/A</v>
      </c>
      <c r="BS50" s="1314" t="e">
        <f t="shared" si="56"/>
        <v>#N/A</v>
      </c>
      <c r="BT50" s="1314" t="e">
        <f t="shared" si="57"/>
        <v>#N/A</v>
      </c>
      <c r="BU50" s="1314" t="e">
        <f t="shared" si="58"/>
        <v>#N/A</v>
      </c>
      <c r="BV50" s="1314" t="e">
        <f t="shared" si="59"/>
        <v>#N/A</v>
      </c>
      <c r="BW50" s="1314" t="e">
        <f t="shared" si="60"/>
        <v>#N/A</v>
      </c>
      <c r="BX50" s="1314" t="e">
        <f t="shared" si="61"/>
        <v>#N/A</v>
      </c>
      <c r="BY50" s="1314" t="e">
        <f t="shared" si="62"/>
        <v>#N/A</v>
      </c>
      <c r="BZ50" s="1315"/>
      <c r="CA50" s="1315"/>
      <c r="CB50" s="1315"/>
      <c r="CC50" s="1315"/>
      <c r="CD50" s="1315"/>
      <c r="CE50" s="1315"/>
      <c r="CF50" s="1315"/>
      <c r="CG50" s="1315"/>
      <c r="CH50" s="1315"/>
      <c r="CI50" s="1315"/>
      <c r="CJ50" s="1315"/>
      <c r="CK50" s="1315"/>
      <c r="CL50" s="1315"/>
      <c r="CM50" s="1315"/>
      <c r="CN50" s="1315"/>
      <c r="CO50" s="1315"/>
      <c r="CP50" s="1315"/>
      <c r="CQ50" s="1315"/>
      <c r="CR50" s="1315"/>
      <c r="CS50" s="1315"/>
      <c r="CT50" s="1315"/>
      <c r="CU50" s="1315"/>
      <c r="CV50" s="1315"/>
      <c r="CW50" s="1315"/>
      <c r="CX50" s="1315"/>
      <c r="CY50" s="1315"/>
      <c r="CZ50" s="1315"/>
      <c r="DA50" s="1315"/>
      <c r="DB50" s="1315"/>
      <c r="DC50" s="1315"/>
      <c r="DD50" s="1315"/>
      <c r="DE50" s="1315"/>
      <c r="DF50" s="1315"/>
      <c r="DG50" s="1315"/>
      <c r="DH50" s="1315"/>
      <c r="DI50" s="1315"/>
      <c r="DJ50" s="1315"/>
      <c r="DK50" s="1315"/>
      <c r="DL50" s="1315"/>
      <c r="DM50" s="1315"/>
      <c r="DN50" s="1315"/>
      <c r="DO50" s="1315"/>
      <c r="DP50" s="1315"/>
      <c r="DQ50" s="1315"/>
      <c r="DR50" s="1315"/>
      <c r="DS50" s="1315"/>
      <c r="DT50" s="1315"/>
      <c r="DU50" s="1315"/>
      <c r="DV50" s="1315"/>
      <c r="DW50" s="1315"/>
      <c r="DX50" s="1315"/>
      <c r="DY50" s="1315"/>
      <c r="DZ50" s="1315"/>
      <c r="EA50" s="1315"/>
      <c r="EB50" s="1315"/>
      <c r="EC50" s="1315"/>
      <c r="ED50" s="1315"/>
      <c r="EE50" s="1315"/>
      <c r="EF50" s="1315"/>
      <c r="EG50" s="1315"/>
      <c r="EH50" s="1315"/>
      <c r="EI50" s="1315"/>
      <c r="EJ50" s="1315"/>
      <c r="EK50" s="1315"/>
      <c r="EL50" s="1315"/>
      <c r="EM50" s="1315"/>
      <c r="EN50" s="1315"/>
      <c r="EO50" s="1315"/>
      <c r="EP50" s="1315"/>
      <c r="EQ50" s="1315"/>
      <c r="ER50" s="1315"/>
      <c r="ES50" s="1315"/>
      <c r="ET50" s="1315"/>
      <c r="EU50" s="1315"/>
      <c r="EV50" s="1315"/>
      <c r="EW50" s="1315"/>
      <c r="EX50" s="1315"/>
      <c r="EY50" s="1315"/>
      <c r="EZ50" s="1315"/>
      <c r="FA50" s="1315"/>
      <c r="FB50" s="1315"/>
      <c r="FC50" s="1315"/>
      <c r="FD50" s="1315"/>
      <c r="FE50" s="1315"/>
      <c r="FF50" s="1315"/>
      <c r="FG50" s="1315"/>
      <c r="FH50" s="1315"/>
      <c r="FI50" s="1315"/>
      <c r="FJ50" s="1315"/>
      <c r="FK50" s="1315"/>
      <c r="FL50" s="1315"/>
      <c r="FM50" s="1315"/>
      <c r="FN50" s="1315"/>
      <c r="FO50" s="1315"/>
      <c r="FP50" s="1315"/>
      <c r="FQ50" s="1315"/>
      <c r="FR50" s="1315"/>
      <c r="FS50" s="1315"/>
      <c r="FT50" s="1315"/>
      <c r="FU50" s="1315"/>
      <c r="FV50" s="1315"/>
      <c r="FW50" s="1315"/>
      <c r="FX50" s="1315"/>
      <c r="FY50" s="1315"/>
      <c r="FZ50" s="1315"/>
      <c r="GA50" s="1315"/>
      <c r="GB50" s="1315"/>
      <c r="GC50" s="1315"/>
      <c r="GD50" s="1315"/>
      <c r="GE50" s="1315"/>
      <c r="GF50" s="1315"/>
      <c r="GG50" s="1315"/>
      <c r="GH50" s="1315"/>
      <c r="GI50" s="1315"/>
      <c r="GJ50" s="1315"/>
      <c r="GK50" s="1315"/>
      <c r="GL50" s="1315"/>
      <c r="GM50" s="1315"/>
      <c r="GN50" s="1315"/>
      <c r="GO50" s="1315"/>
      <c r="GP50" s="1315"/>
      <c r="GQ50" s="1315"/>
      <c r="GR50" s="1315"/>
      <c r="GS50" s="1315"/>
      <c r="GT50" s="1315"/>
      <c r="GU50" s="1315"/>
      <c r="GV50" s="1315"/>
      <c r="GW50" s="1315"/>
      <c r="GX50" s="1315"/>
      <c r="GY50" s="1315"/>
      <c r="GZ50" s="1315"/>
      <c r="HA50" s="1315"/>
      <c r="HB50" s="1315"/>
      <c r="HC50" s="1315"/>
      <c r="HD50" s="1315"/>
      <c r="HE50" s="1315"/>
      <c r="HF50" s="1315"/>
      <c r="HG50" s="1315"/>
      <c r="HH50" s="1315"/>
      <c r="HI50" s="1315"/>
      <c r="HJ50" s="1315"/>
      <c r="HK50" s="1315"/>
      <c r="HL50" s="1315"/>
      <c r="HM50" s="1315"/>
      <c r="HN50" s="1315"/>
      <c r="HO50" s="1315"/>
      <c r="HP50" s="1315"/>
      <c r="HQ50" s="1315"/>
      <c r="HR50" s="1315"/>
      <c r="HS50" s="1315"/>
      <c r="HT50" s="1315"/>
      <c r="HU50" s="1315"/>
      <c r="HV50" s="1315"/>
      <c r="HW50" s="1315"/>
      <c r="HX50" s="1315"/>
      <c r="HY50" s="1315"/>
      <c r="HZ50" s="1315"/>
      <c r="IA50" s="1315"/>
      <c r="IB50" s="1315"/>
      <c r="IC50" s="1315"/>
      <c r="ID50" s="1315"/>
      <c r="IE50" s="1315"/>
      <c r="IF50" s="1315"/>
      <c r="IG50" s="1315"/>
      <c r="IH50" s="1315"/>
      <c r="II50" s="1315"/>
      <c r="IJ50" s="1315"/>
    </row>
    <row r="51" spans="1:244" s="53" customFormat="1" ht="12" x14ac:dyDescent="0.2">
      <c r="A51" s="444">
        <f t="shared" si="65"/>
        <v>40</v>
      </c>
      <c r="B51" s="1312">
        <v>7429</v>
      </c>
      <c r="C51" s="1313">
        <f t="shared" si="66"/>
        <v>35000</v>
      </c>
      <c r="D51" s="1313">
        <f t="shared" si="9"/>
        <v>36400</v>
      </c>
      <c r="E51" s="1313">
        <f t="shared" ref="E51:Y51" si="95">ROUNDUP(D51*(E$10+1),0)</f>
        <v>37966</v>
      </c>
      <c r="F51" s="1313">
        <f t="shared" si="95"/>
        <v>39105</v>
      </c>
      <c r="G51" s="1313">
        <f t="shared" si="95"/>
        <v>40552</v>
      </c>
      <c r="H51" s="1313">
        <f t="shared" si="95"/>
        <v>42175</v>
      </c>
      <c r="I51" s="1313">
        <f t="shared" si="95"/>
        <v>43862</v>
      </c>
      <c r="J51" s="1314">
        <f t="shared" si="95"/>
        <v>45617</v>
      </c>
      <c r="K51" s="1314" t="e">
        <f t="shared" si="95"/>
        <v>#N/A</v>
      </c>
      <c r="L51" s="1314" t="e">
        <f t="shared" si="95"/>
        <v>#N/A</v>
      </c>
      <c r="M51" s="1314" t="e">
        <f t="shared" si="95"/>
        <v>#N/A</v>
      </c>
      <c r="N51" s="1314" t="e">
        <f t="shared" si="95"/>
        <v>#N/A</v>
      </c>
      <c r="O51" s="1314" t="e">
        <f t="shared" si="95"/>
        <v>#N/A</v>
      </c>
      <c r="P51" s="1314" t="e">
        <f t="shared" si="95"/>
        <v>#N/A</v>
      </c>
      <c r="Q51" s="1314" t="e">
        <f t="shared" si="95"/>
        <v>#N/A</v>
      </c>
      <c r="R51" s="1314" t="e">
        <f t="shared" si="95"/>
        <v>#N/A</v>
      </c>
      <c r="S51" s="1314" t="e">
        <f t="shared" si="95"/>
        <v>#N/A</v>
      </c>
      <c r="T51" s="1314" t="e">
        <f t="shared" si="95"/>
        <v>#N/A</v>
      </c>
      <c r="U51" s="1314" t="e">
        <f t="shared" si="95"/>
        <v>#N/A</v>
      </c>
      <c r="V51" s="1314" t="e">
        <f t="shared" si="95"/>
        <v>#N/A</v>
      </c>
      <c r="W51" s="1314" t="e">
        <f t="shared" si="95"/>
        <v>#N/A</v>
      </c>
      <c r="X51" s="1314" t="e">
        <f t="shared" si="95"/>
        <v>#N/A</v>
      </c>
      <c r="Y51" s="1314" t="e">
        <f t="shared" si="95"/>
        <v>#N/A</v>
      </c>
      <c r="Z51" s="1314" t="e">
        <f t="shared" si="11"/>
        <v>#N/A</v>
      </c>
      <c r="AA51" s="1314" t="e">
        <f t="shared" si="12"/>
        <v>#N/A</v>
      </c>
      <c r="AB51" s="1314" t="e">
        <f t="shared" si="13"/>
        <v>#N/A</v>
      </c>
      <c r="AC51" s="1314" t="e">
        <f t="shared" si="14"/>
        <v>#N/A</v>
      </c>
      <c r="AD51" s="1314" t="e">
        <f t="shared" si="15"/>
        <v>#N/A</v>
      </c>
      <c r="AE51" s="1314" t="e">
        <f t="shared" si="16"/>
        <v>#N/A</v>
      </c>
      <c r="AF51" s="1314" t="e">
        <f t="shared" si="17"/>
        <v>#N/A</v>
      </c>
      <c r="AG51" s="1314" t="e">
        <f t="shared" si="18"/>
        <v>#N/A</v>
      </c>
      <c r="AH51" s="1314" t="e">
        <f t="shared" si="19"/>
        <v>#N/A</v>
      </c>
      <c r="AI51" s="1314" t="e">
        <f t="shared" si="20"/>
        <v>#N/A</v>
      </c>
      <c r="AJ51" s="1314" t="e">
        <f t="shared" si="21"/>
        <v>#N/A</v>
      </c>
      <c r="AK51" s="1314" t="e">
        <f t="shared" si="22"/>
        <v>#N/A</v>
      </c>
      <c r="AL51" s="1314" t="e">
        <f t="shared" si="23"/>
        <v>#N/A</v>
      </c>
      <c r="AM51" s="1314" t="e">
        <f t="shared" si="24"/>
        <v>#N/A</v>
      </c>
      <c r="AN51" s="1314" t="e">
        <f t="shared" si="25"/>
        <v>#N/A</v>
      </c>
      <c r="AO51" s="1314" t="e">
        <f t="shared" si="26"/>
        <v>#N/A</v>
      </c>
      <c r="AP51" s="1314" t="e">
        <f t="shared" si="27"/>
        <v>#N/A</v>
      </c>
      <c r="AQ51" s="1314" t="e">
        <f t="shared" si="28"/>
        <v>#N/A</v>
      </c>
      <c r="AR51" s="1314" t="e">
        <f t="shared" si="29"/>
        <v>#N/A</v>
      </c>
      <c r="AS51" s="1314" t="e">
        <f t="shared" si="30"/>
        <v>#N/A</v>
      </c>
      <c r="AT51" s="1314" t="e">
        <f t="shared" si="31"/>
        <v>#N/A</v>
      </c>
      <c r="AU51" s="1314" t="e">
        <f t="shared" si="32"/>
        <v>#N/A</v>
      </c>
      <c r="AV51" s="1314" t="e">
        <f t="shared" si="33"/>
        <v>#N/A</v>
      </c>
      <c r="AW51" s="1314" t="e">
        <f t="shared" si="34"/>
        <v>#N/A</v>
      </c>
      <c r="AX51" s="1314" t="e">
        <f t="shared" si="35"/>
        <v>#N/A</v>
      </c>
      <c r="AY51" s="1314" t="e">
        <f t="shared" si="36"/>
        <v>#N/A</v>
      </c>
      <c r="AZ51" s="1314" t="e">
        <f t="shared" si="37"/>
        <v>#N/A</v>
      </c>
      <c r="BA51" s="1314" t="e">
        <f t="shared" si="38"/>
        <v>#N/A</v>
      </c>
      <c r="BB51" s="1314" t="e">
        <f t="shared" si="39"/>
        <v>#N/A</v>
      </c>
      <c r="BC51" s="1314" t="e">
        <f t="shared" si="40"/>
        <v>#N/A</v>
      </c>
      <c r="BD51" s="1314" t="e">
        <f t="shared" si="41"/>
        <v>#N/A</v>
      </c>
      <c r="BE51" s="1314" t="e">
        <f t="shared" si="42"/>
        <v>#N/A</v>
      </c>
      <c r="BF51" s="1314" t="e">
        <f t="shared" si="43"/>
        <v>#N/A</v>
      </c>
      <c r="BG51" s="1314" t="e">
        <f t="shared" si="44"/>
        <v>#N/A</v>
      </c>
      <c r="BH51" s="1314" t="e">
        <f t="shared" si="45"/>
        <v>#N/A</v>
      </c>
      <c r="BI51" s="1314" t="e">
        <f t="shared" si="46"/>
        <v>#N/A</v>
      </c>
      <c r="BJ51" s="1314" t="e">
        <f t="shared" si="47"/>
        <v>#N/A</v>
      </c>
      <c r="BK51" s="1314" t="e">
        <f t="shared" si="48"/>
        <v>#N/A</v>
      </c>
      <c r="BL51" s="1314" t="e">
        <f t="shared" si="49"/>
        <v>#N/A</v>
      </c>
      <c r="BM51" s="1314" t="e">
        <f t="shared" si="50"/>
        <v>#N/A</v>
      </c>
      <c r="BN51" s="1314" t="e">
        <f t="shared" si="51"/>
        <v>#N/A</v>
      </c>
      <c r="BO51" s="1314" t="e">
        <f t="shared" si="52"/>
        <v>#N/A</v>
      </c>
      <c r="BP51" s="1314" t="e">
        <f t="shared" si="53"/>
        <v>#N/A</v>
      </c>
      <c r="BQ51" s="1314" t="e">
        <f t="shared" si="54"/>
        <v>#N/A</v>
      </c>
      <c r="BR51" s="1314" t="e">
        <f t="shared" si="55"/>
        <v>#N/A</v>
      </c>
      <c r="BS51" s="1314" t="e">
        <f t="shared" si="56"/>
        <v>#N/A</v>
      </c>
      <c r="BT51" s="1314" t="e">
        <f t="shared" si="57"/>
        <v>#N/A</v>
      </c>
      <c r="BU51" s="1314" t="e">
        <f t="shared" si="58"/>
        <v>#N/A</v>
      </c>
      <c r="BV51" s="1314" t="e">
        <f t="shared" si="59"/>
        <v>#N/A</v>
      </c>
      <c r="BW51" s="1314" t="e">
        <f t="shared" si="60"/>
        <v>#N/A</v>
      </c>
      <c r="BX51" s="1314" t="e">
        <f t="shared" si="61"/>
        <v>#N/A</v>
      </c>
      <c r="BY51" s="1314" t="e">
        <f t="shared" si="62"/>
        <v>#N/A</v>
      </c>
      <c r="BZ51" s="1315"/>
      <c r="CA51" s="1315"/>
      <c r="CB51" s="1315"/>
      <c r="CC51" s="1315"/>
      <c r="CD51" s="1315"/>
      <c r="CE51" s="1315"/>
      <c r="CF51" s="1315"/>
      <c r="CG51" s="1315"/>
      <c r="CH51" s="1315"/>
      <c r="CI51" s="1315"/>
      <c r="CJ51" s="1315"/>
      <c r="CK51" s="1315"/>
      <c r="CL51" s="1315"/>
      <c r="CM51" s="1315"/>
      <c r="CN51" s="1315"/>
      <c r="CO51" s="1315"/>
      <c r="CP51" s="1315"/>
      <c r="CQ51" s="1315"/>
      <c r="CR51" s="1315"/>
      <c r="CS51" s="1315"/>
      <c r="CT51" s="1315"/>
      <c r="CU51" s="1315"/>
      <c r="CV51" s="1315"/>
      <c r="CW51" s="1315"/>
      <c r="CX51" s="1315"/>
      <c r="CY51" s="1315"/>
      <c r="CZ51" s="1315"/>
      <c r="DA51" s="1315"/>
      <c r="DB51" s="1315"/>
      <c r="DC51" s="1315"/>
      <c r="DD51" s="1315"/>
      <c r="DE51" s="1315"/>
      <c r="DF51" s="1315"/>
      <c r="DG51" s="1315"/>
      <c r="DH51" s="1315"/>
      <c r="DI51" s="1315"/>
      <c r="DJ51" s="1315"/>
      <c r="DK51" s="1315"/>
      <c r="DL51" s="1315"/>
      <c r="DM51" s="1315"/>
      <c r="DN51" s="1315"/>
      <c r="DO51" s="1315"/>
      <c r="DP51" s="1315"/>
      <c r="DQ51" s="1315"/>
      <c r="DR51" s="1315"/>
      <c r="DS51" s="1315"/>
      <c r="DT51" s="1315"/>
      <c r="DU51" s="1315"/>
      <c r="DV51" s="1315"/>
      <c r="DW51" s="1315"/>
      <c r="DX51" s="1315"/>
      <c r="DY51" s="1315"/>
      <c r="DZ51" s="1315"/>
      <c r="EA51" s="1315"/>
      <c r="EB51" s="1315"/>
      <c r="EC51" s="1315"/>
      <c r="ED51" s="1315"/>
      <c r="EE51" s="1315"/>
      <c r="EF51" s="1315"/>
      <c r="EG51" s="1315"/>
      <c r="EH51" s="1315"/>
      <c r="EI51" s="1315"/>
      <c r="EJ51" s="1315"/>
      <c r="EK51" s="1315"/>
      <c r="EL51" s="1315"/>
      <c r="EM51" s="1315"/>
      <c r="EN51" s="1315"/>
      <c r="EO51" s="1315"/>
      <c r="EP51" s="1315"/>
      <c r="EQ51" s="1315"/>
      <c r="ER51" s="1315"/>
      <c r="ES51" s="1315"/>
      <c r="ET51" s="1315"/>
      <c r="EU51" s="1315"/>
      <c r="EV51" s="1315"/>
      <c r="EW51" s="1315"/>
      <c r="EX51" s="1315"/>
      <c r="EY51" s="1315"/>
      <c r="EZ51" s="1315"/>
      <c r="FA51" s="1315"/>
      <c r="FB51" s="1315"/>
      <c r="FC51" s="1315"/>
      <c r="FD51" s="1315"/>
      <c r="FE51" s="1315"/>
      <c r="FF51" s="1315"/>
      <c r="FG51" s="1315"/>
      <c r="FH51" s="1315"/>
      <c r="FI51" s="1315"/>
      <c r="FJ51" s="1315"/>
      <c r="FK51" s="1315"/>
      <c r="FL51" s="1315"/>
      <c r="FM51" s="1315"/>
      <c r="FN51" s="1315"/>
      <c r="FO51" s="1315"/>
      <c r="FP51" s="1315"/>
      <c r="FQ51" s="1315"/>
      <c r="FR51" s="1315"/>
      <c r="FS51" s="1315"/>
      <c r="FT51" s="1315"/>
      <c r="FU51" s="1315"/>
      <c r="FV51" s="1315"/>
      <c r="FW51" s="1315"/>
      <c r="FX51" s="1315"/>
      <c r="FY51" s="1315"/>
      <c r="FZ51" s="1315"/>
      <c r="GA51" s="1315"/>
      <c r="GB51" s="1315"/>
      <c r="GC51" s="1315"/>
      <c r="GD51" s="1315"/>
      <c r="GE51" s="1315"/>
      <c r="GF51" s="1315"/>
      <c r="GG51" s="1315"/>
      <c r="GH51" s="1315"/>
      <c r="GI51" s="1315"/>
      <c r="GJ51" s="1315"/>
      <c r="GK51" s="1315"/>
      <c r="GL51" s="1315"/>
      <c r="GM51" s="1315"/>
      <c r="GN51" s="1315"/>
      <c r="GO51" s="1315"/>
      <c r="GP51" s="1315"/>
      <c r="GQ51" s="1315"/>
      <c r="GR51" s="1315"/>
      <c r="GS51" s="1315"/>
      <c r="GT51" s="1315"/>
      <c r="GU51" s="1315"/>
      <c r="GV51" s="1315"/>
      <c r="GW51" s="1315"/>
      <c r="GX51" s="1315"/>
      <c r="GY51" s="1315"/>
      <c r="GZ51" s="1315"/>
      <c r="HA51" s="1315"/>
      <c r="HB51" s="1315"/>
      <c r="HC51" s="1315"/>
      <c r="HD51" s="1315"/>
      <c r="HE51" s="1315"/>
      <c r="HF51" s="1315"/>
      <c r="HG51" s="1315"/>
      <c r="HH51" s="1315"/>
      <c r="HI51" s="1315"/>
      <c r="HJ51" s="1315"/>
      <c r="HK51" s="1315"/>
      <c r="HL51" s="1315"/>
      <c r="HM51" s="1315"/>
      <c r="HN51" s="1315"/>
      <c r="HO51" s="1315"/>
      <c r="HP51" s="1315"/>
      <c r="HQ51" s="1315"/>
      <c r="HR51" s="1315"/>
      <c r="HS51" s="1315"/>
      <c r="HT51" s="1315"/>
      <c r="HU51" s="1315"/>
      <c r="HV51" s="1315"/>
      <c r="HW51" s="1315"/>
      <c r="HX51" s="1315"/>
      <c r="HY51" s="1315"/>
      <c r="HZ51" s="1315"/>
      <c r="IA51" s="1315"/>
      <c r="IB51" s="1315"/>
      <c r="IC51" s="1315"/>
      <c r="ID51" s="1315"/>
      <c r="IE51" s="1315"/>
      <c r="IF51" s="1315"/>
      <c r="IG51" s="1315"/>
      <c r="IH51" s="1315"/>
      <c r="II51" s="1315"/>
      <c r="IJ51" s="1315"/>
    </row>
    <row r="52" spans="1:244" s="53" customFormat="1" ht="12" x14ac:dyDescent="0.2">
      <c r="A52" s="444">
        <f t="shared" si="65"/>
        <v>41</v>
      </c>
      <c r="B52" s="1312">
        <v>7542</v>
      </c>
      <c r="C52" s="1313">
        <f t="shared" si="66"/>
        <v>35500</v>
      </c>
      <c r="D52" s="1313">
        <f t="shared" si="9"/>
        <v>36920</v>
      </c>
      <c r="E52" s="1313">
        <f t="shared" ref="E52:Y52" si="96">ROUNDUP(D52*(E$10+1),0)</f>
        <v>38508</v>
      </c>
      <c r="F52" s="1313">
        <f t="shared" si="96"/>
        <v>39664</v>
      </c>
      <c r="G52" s="1313">
        <f t="shared" si="96"/>
        <v>41132</v>
      </c>
      <c r="H52" s="1313">
        <f t="shared" si="96"/>
        <v>42778</v>
      </c>
      <c r="I52" s="1313">
        <f t="shared" si="96"/>
        <v>44490</v>
      </c>
      <c r="J52" s="1314">
        <f t="shared" si="96"/>
        <v>46270</v>
      </c>
      <c r="K52" s="1314" t="e">
        <f t="shared" si="96"/>
        <v>#N/A</v>
      </c>
      <c r="L52" s="1314" t="e">
        <f t="shared" si="96"/>
        <v>#N/A</v>
      </c>
      <c r="M52" s="1314" t="e">
        <f t="shared" si="96"/>
        <v>#N/A</v>
      </c>
      <c r="N52" s="1314" t="e">
        <f t="shared" si="96"/>
        <v>#N/A</v>
      </c>
      <c r="O52" s="1314" t="e">
        <f t="shared" si="96"/>
        <v>#N/A</v>
      </c>
      <c r="P52" s="1314" t="e">
        <f t="shared" si="96"/>
        <v>#N/A</v>
      </c>
      <c r="Q52" s="1314" t="e">
        <f t="shared" si="96"/>
        <v>#N/A</v>
      </c>
      <c r="R52" s="1314" t="e">
        <f t="shared" si="96"/>
        <v>#N/A</v>
      </c>
      <c r="S52" s="1314" t="e">
        <f t="shared" si="96"/>
        <v>#N/A</v>
      </c>
      <c r="T52" s="1314" t="e">
        <f t="shared" si="96"/>
        <v>#N/A</v>
      </c>
      <c r="U52" s="1314" t="e">
        <f t="shared" si="96"/>
        <v>#N/A</v>
      </c>
      <c r="V52" s="1314" t="e">
        <f t="shared" si="96"/>
        <v>#N/A</v>
      </c>
      <c r="W52" s="1314" t="e">
        <f t="shared" si="96"/>
        <v>#N/A</v>
      </c>
      <c r="X52" s="1314" t="e">
        <f t="shared" si="96"/>
        <v>#N/A</v>
      </c>
      <c r="Y52" s="1314" t="e">
        <f t="shared" si="96"/>
        <v>#N/A</v>
      </c>
      <c r="Z52" s="1314" t="e">
        <f t="shared" si="11"/>
        <v>#N/A</v>
      </c>
      <c r="AA52" s="1314" t="e">
        <f t="shared" si="12"/>
        <v>#N/A</v>
      </c>
      <c r="AB52" s="1314" t="e">
        <f t="shared" si="13"/>
        <v>#N/A</v>
      </c>
      <c r="AC52" s="1314" t="e">
        <f t="shared" si="14"/>
        <v>#N/A</v>
      </c>
      <c r="AD52" s="1314" t="e">
        <f t="shared" si="15"/>
        <v>#N/A</v>
      </c>
      <c r="AE52" s="1314" t="e">
        <f t="shared" si="16"/>
        <v>#N/A</v>
      </c>
      <c r="AF52" s="1314" t="e">
        <f t="shared" si="17"/>
        <v>#N/A</v>
      </c>
      <c r="AG52" s="1314" t="e">
        <f t="shared" si="18"/>
        <v>#N/A</v>
      </c>
      <c r="AH52" s="1314" t="e">
        <f t="shared" si="19"/>
        <v>#N/A</v>
      </c>
      <c r="AI52" s="1314" t="e">
        <f t="shared" si="20"/>
        <v>#N/A</v>
      </c>
      <c r="AJ52" s="1314" t="e">
        <f t="shared" si="21"/>
        <v>#N/A</v>
      </c>
      <c r="AK52" s="1314" t="e">
        <f t="shared" si="22"/>
        <v>#N/A</v>
      </c>
      <c r="AL52" s="1314" t="e">
        <f t="shared" si="23"/>
        <v>#N/A</v>
      </c>
      <c r="AM52" s="1314" t="e">
        <f t="shared" si="24"/>
        <v>#N/A</v>
      </c>
      <c r="AN52" s="1314" t="e">
        <f t="shared" si="25"/>
        <v>#N/A</v>
      </c>
      <c r="AO52" s="1314" t="e">
        <f t="shared" si="26"/>
        <v>#N/A</v>
      </c>
      <c r="AP52" s="1314" t="e">
        <f t="shared" si="27"/>
        <v>#N/A</v>
      </c>
      <c r="AQ52" s="1314" t="e">
        <f t="shared" si="28"/>
        <v>#N/A</v>
      </c>
      <c r="AR52" s="1314" t="e">
        <f t="shared" si="29"/>
        <v>#N/A</v>
      </c>
      <c r="AS52" s="1314" t="e">
        <f t="shared" si="30"/>
        <v>#N/A</v>
      </c>
      <c r="AT52" s="1314" t="e">
        <f t="shared" si="31"/>
        <v>#N/A</v>
      </c>
      <c r="AU52" s="1314" t="e">
        <f t="shared" si="32"/>
        <v>#N/A</v>
      </c>
      <c r="AV52" s="1314" t="e">
        <f t="shared" si="33"/>
        <v>#N/A</v>
      </c>
      <c r="AW52" s="1314" t="e">
        <f t="shared" si="34"/>
        <v>#N/A</v>
      </c>
      <c r="AX52" s="1314" t="e">
        <f t="shared" si="35"/>
        <v>#N/A</v>
      </c>
      <c r="AY52" s="1314" t="e">
        <f t="shared" si="36"/>
        <v>#N/A</v>
      </c>
      <c r="AZ52" s="1314" t="e">
        <f t="shared" si="37"/>
        <v>#N/A</v>
      </c>
      <c r="BA52" s="1314" t="e">
        <f t="shared" si="38"/>
        <v>#N/A</v>
      </c>
      <c r="BB52" s="1314" t="e">
        <f t="shared" si="39"/>
        <v>#N/A</v>
      </c>
      <c r="BC52" s="1314" t="e">
        <f t="shared" si="40"/>
        <v>#N/A</v>
      </c>
      <c r="BD52" s="1314" t="e">
        <f t="shared" si="41"/>
        <v>#N/A</v>
      </c>
      <c r="BE52" s="1314" t="e">
        <f t="shared" si="42"/>
        <v>#N/A</v>
      </c>
      <c r="BF52" s="1314" t="e">
        <f t="shared" si="43"/>
        <v>#N/A</v>
      </c>
      <c r="BG52" s="1314" t="e">
        <f t="shared" si="44"/>
        <v>#N/A</v>
      </c>
      <c r="BH52" s="1314" t="e">
        <f t="shared" si="45"/>
        <v>#N/A</v>
      </c>
      <c r="BI52" s="1314" t="e">
        <f t="shared" si="46"/>
        <v>#N/A</v>
      </c>
      <c r="BJ52" s="1314" t="e">
        <f t="shared" si="47"/>
        <v>#N/A</v>
      </c>
      <c r="BK52" s="1314" t="e">
        <f t="shared" si="48"/>
        <v>#N/A</v>
      </c>
      <c r="BL52" s="1314" t="e">
        <f t="shared" si="49"/>
        <v>#N/A</v>
      </c>
      <c r="BM52" s="1314" t="e">
        <f t="shared" si="50"/>
        <v>#N/A</v>
      </c>
      <c r="BN52" s="1314" t="e">
        <f t="shared" si="51"/>
        <v>#N/A</v>
      </c>
      <c r="BO52" s="1314" t="e">
        <f t="shared" si="52"/>
        <v>#N/A</v>
      </c>
      <c r="BP52" s="1314" t="e">
        <f t="shared" si="53"/>
        <v>#N/A</v>
      </c>
      <c r="BQ52" s="1314" t="e">
        <f t="shared" si="54"/>
        <v>#N/A</v>
      </c>
      <c r="BR52" s="1314" t="e">
        <f t="shared" si="55"/>
        <v>#N/A</v>
      </c>
      <c r="BS52" s="1314" t="e">
        <f t="shared" si="56"/>
        <v>#N/A</v>
      </c>
      <c r="BT52" s="1314" t="e">
        <f t="shared" si="57"/>
        <v>#N/A</v>
      </c>
      <c r="BU52" s="1314" t="e">
        <f t="shared" si="58"/>
        <v>#N/A</v>
      </c>
      <c r="BV52" s="1314" t="e">
        <f t="shared" si="59"/>
        <v>#N/A</v>
      </c>
      <c r="BW52" s="1314" t="e">
        <f t="shared" si="60"/>
        <v>#N/A</v>
      </c>
      <c r="BX52" s="1314" t="e">
        <f t="shared" si="61"/>
        <v>#N/A</v>
      </c>
      <c r="BY52" s="1314" t="e">
        <f t="shared" si="62"/>
        <v>#N/A</v>
      </c>
      <c r="BZ52" s="1315"/>
      <c r="CA52" s="1315"/>
      <c r="CB52" s="1315"/>
      <c r="CC52" s="1315"/>
      <c r="CD52" s="1315"/>
      <c r="CE52" s="1315"/>
      <c r="CF52" s="1315"/>
      <c r="CG52" s="1315"/>
      <c r="CH52" s="1315"/>
      <c r="CI52" s="1315"/>
      <c r="CJ52" s="1315"/>
      <c r="CK52" s="1315"/>
      <c r="CL52" s="1315"/>
      <c r="CM52" s="1315"/>
      <c r="CN52" s="1315"/>
      <c r="CO52" s="1315"/>
      <c r="CP52" s="1315"/>
      <c r="CQ52" s="1315"/>
      <c r="CR52" s="1315"/>
      <c r="CS52" s="1315"/>
      <c r="CT52" s="1315"/>
      <c r="CU52" s="1315"/>
      <c r="CV52" s="1315"/>
      <c r="CW52" s="1315"/>
      <c r="CX52" s="1315"/>
      <c r="CY52" s="1315"/>
      <c r="CZ52" s="1315"/>
      <c r="DA52" s="1315"/>
      <c r="DB52" s="1315"/>
      <c r="DC52" s="1315"/>
      <c r="DD52" s="1315"/>
      <c r="DE52" s="1315"/>
      <c r="DF52" s="1315"/>
      <c r="DG52" s="1315"/>
      <c r="DH52" s="1315"/>
      <c r="DI52" s="1315"/>
      <c r="DJ52" s="1315"/>
      <c r="DK52" s="1315"/>
      <c r="DL52" s="1315"/>
      <c r="DM52" s="1315"/>
      <c r="DN52" s="1315"/>
      <c r="DO52" s="1315"/>
      <c r="DP52" s="1315"/>
      <c r="DQ52" s="1315"/>
      <c r="DR52" s="1315"/>
      <c r="DS52" s="1315"/>
      <c r="DT52" s="1315"/>
      <c r="DU52" s="1315"/>
      <c r="DV52" s="1315"/>
      <c r="DW52" s="1315"/>
      <c r="DX52" s="1315"/>
      <c r="DY52" s="1315"/>
      <c r="DZ52" s="1315"/>
      <c r="EA52" s="1315"/>
      <c r="EB52" s="1315"/>
      <c r="EC52" s="1315"/>
      <c r="ED52" s="1315"/>
      <c r="EE52" s="1315"/>
      <c r="EF52" s="1315"/>
      <c r="EG52" s="1315"/>
      <c r="EH52" s="1315"/>
      <c r="EI52" s="1315"/>
      <c r="EJ52" s="1315"/>
      <c r="EK52" s="1315"/>
      <c r="EL52" s="1315"/>
      <c r="EM52" s="1315"/>
      <c r="EN52" s="1315"/>
      <c r="EO52" s="1315"/>
      <c r="EP52" s="1315"/>
      <c r="EQ52" s="1315"/>
      <c r="ER52" s="1315"/>
      <c r="ES52" s="1315"/>
      <c r="ET52" s="1315"/>
      <c r="EU52" s="1315"/>
      <c r="EV52" s="1315"/>
      <c r="EW52" s="1315"/>
      <c r="EX52" s="1315"/>
      <c r="EY52" s="1315"/>
      <c r="EZ52" s="1315"/>
      <c r="FA52" s="1315"/>
      <c r="FB52" s="1315"/>
      <c r="FC52" s="1315"/>
      <c r="FD52" s="1315"/>
      <c r="FE52" s="1315"/>
      <c r="FF52" s="1315"/>
      <c r="FG52" s="1315"/>
      <c r="FH52" s="1315"/>
      <c r="FI52" s="1315"/>
      <c r="FJ52" s="1315"/>
      <c r="FK52" s="1315"/>
      <c r="FL52" s="1315"/>
      <c r="FM52" s="1315"/>
      <c r="FN52" s="1315"/>
      <c r="FO52" s="1315"/>
      <c r="FP52" s="1315"/>
      <c r="FQ52" s="1315"/>
      <c r="FR52" s="1315"/>
      <c r="FS52" s="1315"/>
      <c r="FT52" s="1315"/>
      <c r="FU52" s="1315"/>
      <c r="FV52" s="1315"/>
      <c r="FW52" s="1315"/>
      <c r="FX52" s="1315"/>
      <c r="FY52" s="1315"/>
      <c r="FZ52" s="1315"/>
      <c r="GA52" s="1315"/>
      <c r="GB52" s="1315"/>
      <c r="GC52" s="1315"/>
      <c r="GD52" s="1315"/>
      <c r="GE52" s="1315"/>
      <c r="GF52" s="1315"/>
      <c r="GG52" s="1315"/>
      <c r="GH52" s="1315"/>
      <c r="GI52" s="1315"/>
      <c r="GJ52" s="1315"/>
      <c r="GK52" s="1315"/>
      <c r="GL52" s="1315"/>
      <c r="GM52" s="1315"/>
      <c r="GN52" s="1315"/>
      <c r="GO52" s="1315"/>
      <c r="GP52" s="1315"/>
      <c r="GQ52" s="1315"/>
      <c r="GR52" s="1315"/>
      <c r="GS52" s="1315"/>
      <c r="GT52" s="1315"/>
      <c r="GU52" s="1315"/>
      <c r="GV52" s="1315"/>
      <c r="GW52" s="1315"/>
      <c r="GX52" s="1315"/>
      <c r="GY52" s="1315"/>
      <c r="GZ52" s="1315"/>
      <c r="HA52" s="1315"/>
      <c r="HB52" s="1315"/>
      <c r="HC52" s="1315"/>
      <c r="HD52" s="1315"/>
      <c r="HE52" s="1315"/>
      <c r="HF52" s="1315"/>
      <c r="HG52" s="1315"/>
      <c r="HH52" s="1315"/>
      <c r="HI52" s="1315"/>
      <c r="HJ52" s="1315"/>
      <c r="HK52" s="1315"/>
      <c r="HL52" s="1315"/>
      <c r="HM52" s="1315"/>
      <c r="HN52" s="1315"/>
      <c r="HO52" s="1315"/>
      <c r="HP52" s="1315"/>
      <c r="HQ52" s="1315"/>
      <c r="HR52" s="1315"/>
      <c r="HS52" s="1315"/>
      <c r="HT52" s="1315"/>
      <c r="HU52" s="1315"/>
      <c r="HV52" s="1315"/>
      <c r="HW52" s="1315"/>
      <c r="HX52" s="1315"/>
      <c r="HY52" s="1315"/>
      <c r="HZ52" s="1315"/>
      <c r="IA52" s="1315"/>
      <c r="IB52" s="1315"/>
      <c r="IC52" s="1315"/>
      <c r="ID52" s="1315"/>
      <c r="IE52" s="1315"/>
      <c r="IF52" s="1315"/>
      <c r="IG52" s="1315"/>
      <c r="IH52" s="1315"/>
      <c r="II52" s="1315"/>
      <c r="IJ52" s="1315"/>
    </row>
    <row r="53" spans="1:244" s="53" customFormat="1" ht="12" x14ac:dyDescent="0.2">
      <c r="A53" s="444">
        <f t="shared" si="65"/>
        <v>42</v>
      </c>
      <c r="B53" s="1312">
        <v>7762</v>
      </c>
      <c r="C53" s="1313">
        <f t="shared" si="66"/>
        <v>36000</v>
      </c>
      <c r="D53" s="1313">
        <f t="shared" si="9"/>
        <v>37440</v>
      </c>
      <c r="E53" s="1313">
        <f t="shared" ref="E53:Y53" si="97">ROUNDUP(D53*(E$10+1),0)</f>
        <v>39050</v>
      </c>
      <c r="F53" s="1313">
        <f t="shared" si="97"/>
        <v>40222</v>
      </c>
      <c r="G53" s="1313">
        <f t="shared" si="97"/>
        <v>41711</v>
      </c>
      <c r="H53" s="1313">
        <f t="shared" si="97"/>
        <v>43380</v>
      </c>
      <c r="I53" s="1313">
        <f t="shared" si="97"/>
        <v>45116</v>
      </c>
      <c r="J53" s="1314">
        <f t="shared" si="97"/>
        <v>46921</v>
      </c>
      <c r="K53" s="1314" t="e">
        <f t="shared" si="97"/>
        <v>#N/A</v>
      </c>
      <c r="L53" s="1314" t="e">
        <f t="shared" si="97"/>
        <v>#N/A</v>
      </c>
      <c r="M53" s="1314" t="e">
        <f t="shared" si="97"/>
        <v>#N/A</v>
      </c>
      <c r="N53" s="1314" t="e">
        <f t="shared" si="97"/>
        <v>#N/A</v>
      </c>
      <c r="O53" s="1314" t="e">
        <f t="shared" si="97"/>
        <v>#N/A</v>
      </c>
      <c r="P53" s="1314" t="e">
        <f t="shared" si="97"/>
        <v>#N/A</v>
      </c>
      <c r="Q53" s="1314" t="e">
        <f t="shared" si="97"/>
        <v>#N/A</v>
      </c>
      <c r="R53" s="1314" t="e">
        <f t="shared" si="97"/>
        <v>#N/A</v>
      </c>
      <c r="S53" s="1314" t="e">
        <f t="shared" si="97"/>
        <v>#N/A</v>
      </c>
      <c r="T53" s="1314" t="e">
        <f t="shared" si="97"/>
        <v>#N/A</v>
      </c>
      <c r="U53" s="1314" t="e">
        <f t="shared" si="97"/>
        <v>#N/A</v>
      </c>
      <c r="V53" s="1314" t="e">
        <f t="shared" si="97"/>
        <v>#N/A</v>
      </c>
      <c r="W53" s="1314" t="e">
        <f t="shared" si="97"/>
        <v>#N/A</v>
      </c>
      <c r="X53" s="1314" t="e">
        <f t="shared" si="97"/>
        <v>#N/A</v>
      </c>
      <c r="Y53" s="1314" t="e">
        <f t="shared" si="97"/>
        <v>#N/A</v>
      </c>
      <c r="Z53" s="1314" t="e">
        <f t="shared" si="11"/>
        <v>#N/A</v>
      </c>
      <c r="AA53" s="1314" t="e">
        <f t="shared" si="12"/>
        <v>#N/A</v>
      </c>
      <c r="AB53" s="1314" t="e">
        <f t="shared" si="13"/>
        <v>#N/A</v>
      </c>
      <c r="AC53" s="1314" t="e">
        <f t="shared" si="14"/>
        <v>#N/A</v>
      </c>
      <c r="AD53" s="1314" t="e">
        <f t="shared" si="15"/>
        <v>#N/A</v>
      </c>
      <c r="AE53" s="1314" t="e">
        <f t="shared" si="16"/>
        <v>#N/A</v>
      </c>
      <c r="AF53" s="1314" t="e">
        <f t="shared" si="17"/>
        <v>#N/A</v>
      </c>
      <c r="AG53" s="1314" t="e">
        <f t="shared" si="18"/>
        <v>#N/A</v>
      </c>
      <c r="AH53" s="1314" t="e">
        <f t="shared" si="19"/>
        <v>#N/A</v>
      </c>
      <c r="AI53" s="1314" t="e">
        <f t="shared" si="20"/>
        <v>#N/A</v>
      </c>
      <c r="AJ53" s="1314" t="e">
        <f t="shared" si="21"/>
        <v>#N/A</v>
      </c>
      <c r="AK53" s="1314" t="e">
        <f t="shared" si="22"/>
        <v>#N/A</v>
      </c>
      <c r="AL53" s="1314" t="e">
        <f t="shared" si="23"/>
        <v>#N/A</v>
      </c>
      <c r="AM53" s="1314" t="e">
        <f t="shared" si="24"/>
        <v>#N/A</v>
      </c>
      <c r="AN53" s="1314" t="e">
        <f t="shared" si="25"/>
        <v>#N/A</v>
      </c>
      <c r="AO53" s="1314" t="e">
        <f t="shared" si="26"/>
        <v>#N/A</v>
      </c>
      <c r="AP53" s="1314" t="e">
        <f t="shared" si="27"/>
        <v>#N/A</v>
      </c>
      <c r="AQ53" s="1314" t="e">
        <f t="shared" si="28"/>
        <v>#N/A</v>
      </c>
      <c r="AR53" s="1314" t="e">
        <f t="shared" si="29"/>
        <v>#N/A</v>
      </c>
      <c r="AS53" s="1314" t="e">
        <f t="shared" si="30"/>
        <v>#N/A</v>
      </c>
      <c r="AT53" s="1314" t="e">
        <f t="shared" si="31"/>
        <v>#N/A</v>
      </c>
      <c r="AU53" s="1314" t="e">
        <f t="shared" si="32"/>
        <v>#N/A</v>
      </c>
      <c r="AV53" s="1314" t="e">
        <f t="shared" si="33"/>
        <v>#N/A</v>
      </c>
      <c r="AW53" s="1314" t="e">
        <f t="shared" si="34"/>
        <v>#N/A</v>
      </c>
      <c r="AX53" s="1314" t="e">
        <f t="shared" si="35"/>
        <v>#N/A</v>
      </c>
      <c r="AY53" s="1314" t="e">
        <f t="shared" si="36"/>
        <v>#N/A</v>
      </c>
      <c r="AZ53" s="1314" t="e">
        <f t="shared" si="37"/>
        <v>#N/A</v>
      </c>
      <c r="BA53" s="1314" t="e">
        <f t="shared" si="38"/>
        <v>#N/A</v>
      </c>
      <c r="BB53" s="1314" t="e">
        <f t="shared" si="39"/>
        <v>#N/A</v>
      </c>
      <c r="BC53" s="1314" t="e">
        <f t="shared" si="40"/>
        <v>#N/A</v>
      </c>
      <c r="BD53" s="1314" t="e">
        <f t="shared" si="41"/>
        <v>#N/A</v>
      </c>
      <c r="BE53" s="1314" t="e">
        <f t="shared" si="42"/>
        <v>#N/A</v>
      </c>
      <c r="BF53" s="1314" t="e">
        <f t="shared" si="43"/>
        <v>#N/A</v>
      </c>
      <c r="BG53" s="1314" t="e">
        <f t="shared" si="44"/>
        <v>#N/A</v>
      </c>
      <c r="BH53" s="1314" t="e">
        <f t="shared" si="45"/>
        <v>#N/A</v>
      </c>
      <c r="BI53" s="1314" t="e">
        <f t="shared" si="46"/>
        <v>#N/A</v>
      </c>
      <c r="BJ53" s="1314" t="e">
        <f t="shared" si="47"/>
        <v>#N/A</v>
      </c>
      <c r="BK53" s="1314" t="e">
        <f t="shared" si="48"/>
        <v>#N/A</v>
      </c>
      <c r="BL53" s="1314" t="e">
        <f t="shared" si="49"/>
        <v>#N/A</v>
      </c>
      <c r="BM53" s="1314" t="e">
        <f t="shared" si="50"/>
        <v>#N/A</v>
      </c>
      <c r="BN53" s="1314" t="e">
        <f t="shared" si="51"/>
        <v>#N/A</v>
      </c>
      <c r="BO53" s="1314" t="e">
        <f t="shared" si="52"/>
        <v>#N/A</v>
      </c>
      <c r="BP53" s="1314" t="e">
        <f t="shared" si="53"/>
        <v>#N/A</v>
      </c>
      <c r="BQ53" s="1314" t="e">
        <f t="shared" si="54"/>
        <v>#N/A</v>
      </c>
      <c r="BR53" s="1314" t="e">
        <f t="shared" si="55"/>
        <v>#N/A</v>
      </c>
      <c r="BS53" s="1314" t="e">
        <f t="shared" si="56"/>
        <v>#N/A</v>
      </c>
      <c r="BT53" s="1314" t="e">
        <f t="shared" si="57"/>
        <v>#N/A</v>
      </c>
      <c r="BU53" s="1314" t="e">
        <f t="shared" si="58"/>
        <v>#N/A</v>
      </c>
      <c r="BV53" s="1314" t="e">
        <f t="shared" si="59"/>
        <v>#N/A</v>
      </c>
      <c r="BW53" s="1314" t="e">
        <f t="shared" si="60"/>
        <v>#N/A</v>
      </c>
      <c r="BX53" s="1314" t="e">
        <f t="shared" si="61"/>
        <v>#N/A</v>
      </c>
      <c r="BY53" s="1314" t="e">
        <f t="shared" si="62"/>
        <v>#N/A</v>
      </c>
      <c r="BZ53" s="1315"/>
      <c r="CA53" s="1315"/>
      <c r="CB53" s="1315"/>
      <c r="CC53" s="1315"/>
      <c r="CD53" s="1315"/>
      <c r="CE53" s="1315"/>
      <c r="CF53" s="1315"/>
      <c r="CG53" s="1315"/>
      <c r="CH53" s="1315"/>
      <c r="CI53" s="1315"/>
      <c r="CJ53" s="1315"/>
      <c r="CK53" s="1315"/>
      <c r="CL53" s="1315"/>
      <c r="CM53" s="1315"/>
      <c r="CN53" s="1315"/>
      <c r="CO53" s="1315"/>
      <c r="CP53" s="1315"/>
      <c r="CQ53" s="1315"/>
      <c r="CR53" s="1315"/>
      <c r="CS53" s="1315"/>
      <c r="CT53" s="1315"/>
      <c r="CU53" s="1315"/>
      <c r="CV53" s="1315"/>
      <c r="CW53" s="1315"/>
      <c r="CX53" s="1315"/>
      <c r="CY53" s="1315"/>
      <c r="CZ53" s="1315"/>
      <c r="DA53" s="1315"/>
      <c r="DB53" s="1315"/>
      <c r="DC53" s="1315"/>
      <c r="DD53" s="1315"/>
      <c r="DE53" s="1315"/>
      <c r="DF53" s="1315"/>
      <c r="DG53" s="1315"/>
      <c r="DH53" s="1315"/>
      <c r="DI53" s="1315"/>
      <c r="DJ53" s="1315"/>
      <c r="DK53" s="1315"/>
      <c r="DL53" s="1315"/>
      <c r="DM53" s="1315"/>
      <c r="DN53" s="1315"/>
      <c r="DO53" s="1315"/>
      <c r="DP53" s="1315"/>
      <c r="DQ53" s="1315"/>
      <c r="DR53" s="1315"/>
      <c r="DS53" s="1315"/>
      <c r="DT53" s="1315"/>
      <c r="DU53" s="1315"/>
      <c r="DV53" s="1315"/>
      <c r="DW53" s="1315"/>
      <c r="DX53" s="1315"/>
      <c r="DY53" s="1315"/>
      <c r="DZ53" s="1315"/>
      <c r="EA53" s="1315"/>
      <c r="EB53" s="1315"/>
      <c r="EC53" s="1315"/>
      <c r="ED53" s="1315"/>
      <c r="EE53" s="1315"/>
      <c r="EF53" s="1315"/>
      <c r="EG53" s="1315"/>
      <c r="EH53" s="1315"/>
      <c r="EI53" s="1315"/>
      <c r="EJ53" s="1315"/>
      <c r="EK53" s="1315"/>
      <c r="EL53" s="1315"/>
      <c r="EM53" s="1315"/>
      <c r="EN53" s="1315"/>
      <c r="EO53" s="1315"/>
      <c r="EP53" s="1315"/>
      <c r="EQ53" s="1315"/>
      <c r="ER53" s="1315"/>
      <c r="ES53" s="1315"/>
      <c r="ET53" s="1315"/>
      <c r="EU53" s="1315"/>
      <c r="EV53" s="1315"/>
      <c r="EW53" s="1315"/>
      <c r="EX53" s="1315"/>
      <c r="EY53" s="1315"/>
      <c r="EZ53" s="1315"/>
      <c r="FA53" s="1315"/>
      <c r="FB53" s="1315"/>
      <c r="FC53" s="1315"/>
      <c r="FD53" s="1315"/>
      <c r="FE53" s="1315"/>
      <c r="FF53" s="1315"/>
      <c r="FG53" s="1315"/>
      <c r="FH53" s="1315"/>
      <c r="FI53" s="1315"/>
      <c r="FJ53" s="1315"/>
      <c r="FK53" s="1315"/>
      <c r="FL53" s="1315"/>
      <c r="FM53" s="1315"/>
      <c r="FN53" s="1315"/>
      <c r="FO53" s="1315"/>
      <c r="FP53" s="1315"/>
      <c r="FQ53" s="1315"/>
      <c r="FR53" s="1315"/>
      <c r="FS53" s="1315"/>
      <c r="FT53" s="1315"/>
      <c r="FU53" s="1315"/>
      <c r="FV53" s="1315"/>
      <c r="FW53" s="1315"/>
      <c r="FX53" s="1315"/>
      <c r="FY53" s="1315"/>
      <c r="FZ53" s="1315"/>
      <c r="GA53" s="1315"/>
      <c r="GB53" s="1315"/>
      <c r="GC53" s="1315"/>
      <c r="GD53" s="1315"/>
      <c r="GE53" s="1315"/>
      <c r="GF53" s="1315"/>
      <c r="GG53" s="1315"/>
      <c r="GH53" s="1315"/>
      <c r="GI53" s="1315"/>
      <c r="GJ53" s="1315"/>
      <c r="GK53" s="1315"/>
      <c r="GL53" s="1315"/>
      <c r="GM53" s="1315"/>
      <c r="GN53" s="1315"/>
      <c r="GO53" s="1315"/>
      <c r="GP53" s="1315"/>
      <c r="GQ53" s="1315"/>
      <c r="GR53" s="1315"/>
      <c r="GS53" s="1315"/>
      <c r="GT53" s="1315"/>
      <c r="GU53" s="1315"/>
      <c r="GV53" s="1315"/>
      <c r="GW53" s="1315"/>
      <c r="GX53" s="1315"/>
      <c r="GY53" s="1315"/>
      <c r="GZ53" s="1315"/>
      <c r="HA53" s="1315"/>
      <c r="HB53" s="1315"/>
      <c r="HC53" s="1315"/>
      <c r="HD53" s="1315"/>
      <c r="HE53" s="1315"/>
      <c r="HF53" s="1315"/>
      <c r="HG53" s="1315"/>
      <c r="HH53" s="1315"/>
      <c r="HI53" s="1315"/>
      <c r="HJ53" s="1315"/>
      <c r="HK53" s="1315"/>
      <c r="HL53" s="1315"/>
      <c r="HM53" s="1315"/>
      <c r="HN53" s="1315"/>
      <c r="HO53" s="1315"/>
      <c r="HP53" s="1315"/>
      <c r="HQ53" s="1315"/>
      <c r="HR53" s="1315"/>
      <c r="HS53" s="1315"/>
      <c r="HT53" s="1315"/>
      <c r="HU53" s="1315"/>
      <c r="HV53" s="1315"/>
      <c r="HW53" s="1315"/>
      <c r="HX53" s="1315"/>
      <c r="HY53" s="1315"/>
      <c r="HZ53" s="1315"/>
      <c r="IA53" s="1315"/>
      <c r="IB53" s="1315"/>
      <c r="IC53" s="1315"/>
      <c r="ID53" s="1315"/>
      <c r="IE53" s="1315"/>
      <c r="IF53" s="1315"/>
      <c r="IG53" s="1315"/>
      <c r="IH53" s="1315"/>
      <c r="II53" s="1315"/>
      <c r="IJ53" s="1315"/>
    </row>
    <row r="54" spans="1:244" s="53" customFormat="1" ht="12" x14ac:dyDescent="0.2">
      <c r="A54" s="444">
        <f t="shared" si="65"/>
        <v>43</v>
      </c>
      <c r="B54" s="1312">
        <v>7873</v>
      </c>
      <c r="C54" s="1313">
        <f t="shared" si="66"/>
        <v>36500</v>
      </c>
      <c r="D54" s="1313">
        <f t="shared" si="9"/>
        <v>37960</v>
      </c>
      <c r="E54" s="1313">
        <f t="shared" ref="E54:Y54" si="98">ROUNDUP(D54*(E$10+1),0)</f>
        <v>39593</v>
      </c>
      <c r="F54" s="1313">
        <f t="shared" si="98"/>
        <v>40781</v>
      </c>
      <c r="G54" s="1313">
        <f t="shared" si="98"/>
        <v>42290</v>
      </c>
      <c r="H54" s="1313">
        <f t="shared" si="98"/>
        <v>43982</v>
      </c>
      <c r="I54" s="1313">
        <f t="shared" si="98"/>
        <v>45742</v>
      </c>
      <c r="J54" s="1314">
        <f t="shared" si="98"/>
        <v>47572</v>
      </c>
      <c r="K54" s="1314" t="e">
        <f t="shared" si="98"/>
        <v>#N/A</v>
      </c>
      <c r="L54" s="1314" t="e">
        <f t="shared" si="98"/>
        <v>#N/A</v>
      </c>
      <c r="M54" s="1314" t="e">
        <f t="shared" si="98"/>
        <v>#N/A</v>
      </c>
      <c r="N54" s="1314" t="e">
        <f t="shared" si="98"/>
        <v>#N/A</v>
      </c>
      <c r="O54" s="1314" t="e">
        <f t="shared" si="98"/>
        <v>#N/A</v>
      </c>
      <c r="P54" s="1314" t="e">
        <f t="shared" si="98"/>
        <v>#N/A</v>
      </c>
      <c r="Q54" s="1314" t="e">
        <f t="shared" si="98"/>
        <v>#N/A</v>
      </c>
      <c r="R54" s="1314" t="e">
        <f t="shared" si="98"/>
        <v>#N/A</v>
      </c>
      <c r="S54" s="1314" t="e">
        <f t="shared" si="98"/>
        <v>#N/A</v>
      </c>
      <c r="T54" s="1314" t="e">
        <f t="shared" si="98"/>
        <v>#N/A</v>
      </c>
      <c r="U54" s="1314" t="e">
        <f t="shared" si="98"/>
        <v>#N/A</v>
      </c>
      <c r="V54" s="1314" t="e">
        <f t="shared" si="98"/>
        <v>#N/A</v>
      </c>
      <c r="W54" s="1314" t="e">
        <f t="shared" si="98"/>
        <v>#N/A</v>
      </c>
      <c r="X54" s="1314" t="e">
        <f t="shared" si="98"/>
        <v>#N/A</v>
      </c>
      <c r="Y54" s="1314" t="e">
        <f t="shared" si="98"/>
        <v>#N/A</v>
      </c>
      <c r="Z54" s="1314" t="e">
        <f t="shared" si="11"/>
        <v>#N/A</v>
      </c>
      <c r="AA54" s="1314" t="e">
        <f t="shared" si="12"/>
        <v>#N/A</v>
      </c>
      <c r="AB54" s="1314" t="e">
        <f t="shared" si="13"/>
        <v>#N/A</v>
      </c>
      <c r="AC54" s="1314" t="e">
        <f t="shared" si="14"/>
        <v>#N/A</v>
      </c>
      <c r="AD54" s="1314" t="e">
        <f t="shared" si="15"/>
        <v>#N/A</v>
      </c>
      <c r="AE54" s="1314" t="e">
        <f t="shared" si="16"/>
        <v>#N/A</v>
      </c>
      <c r="AF54" s="1314" t="e">
        <f t="shared" si="17"/>
        <v>#N/A</v>
      </c>
      <c r="AG54" s="1314" t="e">
        <f t="shared" si="18"/>
        <v>#N/A</v>
      </c>
      <c r="AH54" s="1314" t="e">
        <f t="shared" si="19"/>
        <v>#N/A</v>
      </c>
      <c r="AI54" s="1314" t="e">
        <f t="shared" si="20"/>
        <v>#N/A</v>
      </c>
      <c r="AJ54" s="1314" t="e">
        <f t="shared" si="21"/>
        <v>#N/A</v>
      </c>
      <c r="AK54" s="1314" t="e">
        <f t="shared" si="22"/>
        <v>#N/A</v>
      </c>
      <c r="AL54" s="1314" t="e">
        <f t="shared" si="23"/>
        <v>#N/A</v>
      </c>
      <c r="AM54" s="1314" t="e">
        <f t="shared" si="24"/>
        <v>#N/A</v>
      </c>
      <c r="AN54" s="1314" t="e">
        <f t="shared" si="25"/>
        <v>#N/A</v>
      </c>
      <c r="AO54" s="1314" t="e">
        <f t="shared" si="26"/>
        <v>#N/A</v>
      </c>
      <c r="AP54" s="1314" t="e">
        <f t="shared" si="27"/>
        <v>#N/A</v>
      </c>
      <c r="AQ54" s="1314" t="e">
        <f t="shared" si="28"/>
        <v>#N/A</v>
      </c>
      <c r="AR54" s="1314" t="e">
        <f t="shared" si="29"/>
        <v>#N/A</v>
      </c>
      <c r="AS54" s="1314" t="e">
        <f t="shared" si="30"/>
        <v>#N/A</v>
      </c>
      <c r="AT54" s="1314" t="e">
        <f t="shared" si="31"/>
        <v>#N/A</v>
      </c>
      <c r="AU54" s="1314" t="e">
        <f t="shared" si="32"/>
        <v>#N/A</v>
      </c>
      <c r="AV54" s="1314" t="e">
        <f t="shared" si="33"/>
        <v>#N/A</v>
      </c>
      <c r="AW54" s="1314" t="e">
        <f t="shared" si="34"/>
        <v>#N/A</v>
      </c>
      <c r="AX54" s="1314" t="e">
        <f t="shared" si="35"/>
        <v>#N/A</v>
      </c>
      <c r="AY54" s="1314" t="e">
        <f t="shared" si="36"/>
        <v>#N/A</v>
      </c>
      <c r="AZ54" s="1314" t="e">
        <f t="shared" si="37"/>
        <v>#N/A</v>
      </c>
      <c r="BA54" s="1314" t="e">
        <f t="shared" si="38"/>
        <v>#N/A</v>
      </c>
      <c r="BB54" s="1314" t="e">
        <f t="shared" si="39"/>
        <v>#N/A</v>
      </c>
      <c r="BC54" s="1314" t="e">
        <f t="shared" si="40"/>
        <v>#N/A</v>
      </c>
      <c r="BD54" s="1314" t="e">
        <f t="shared" si="41"/>
        <v>#N/A</v>
      </c>
      <c r="BE54" s="1314" t="e">
        <f t="shared" si="42"/>
        <v>#N/A</v>
      </c>
      <c r="BF54" s="1314" t="e">
        <f t="shared" si="43"/>
        <v>#N/A</v>
      </c>
      <c r="BG54" s="1314" t="e">
        <f t="shared" si="44"/>
        <v>#N/A</v>
      </c>
      <c r="BH54" s="1314" t="e">
        <f t="shared" si="45"/>
        <v>#N/A</v>
      </c>
      <c r="BI54" s="1314" t="e">
        <f t="shared" si="46"/>
        <v>#N/A</v>
      </c>
      <c r="BJ54" s="1314" t="e">
        <f t="shared" si="47"/>
        <v>#N/A</v>
      </c>
      <c r="BK54" s="1314" t="e">
        <f t="shared" si="48"/>
        <v>#N/A</v>
      </c>
      <c r="BL54" s="1314" t="e">
        <f t="shared" si="49"/>
        <v>#N/A</v>
      </c>
      <c r="BM54" s="1314" t="e">
        <f t="shared" si="50"/>
        <v>#N/A</v>
      </c>
      <c r="BN54" s="1314" t="e">
        <f t="shared" si="51"/>
        <v>#N/A</v>
      </c>
      <c r="BO54" s="1314" t="e">
        <f t="shared" si="52"/>
        <v>#N/A</v>
      </c>
      <c r="BP54" s="1314" t="e">
        <f t="shared" si="53"/>
        <v>#N/A</v>
      </c>
      <c r="BQ54" s="1314" t="e">
        <f t="shared" si="54"/>
        <v>#N/A</v>
      </c>
      <c r="BR54" s="1314" t="e">
        <f t="shared" si="55"/>
        <v>#N/A</v>
      </c>
      <c r="BS54" s="1314" t="e">
        <f t="shared" si="56"/>
        <v>#N/A</v>
      </c>
      <c r="BT54" s="1314" t="e">
        <f t="shared" si="57"/>
        <v>#N/A</v>
      </c>
      <c r="BU54" s="1314" t="e">
        <f t="shared" si="58"/>
        <v>#N/A</v>
      </c>
      <c r="BV54" s="1314" t="e">
        <f t="shared" si="59"/>
        <v>#N/A</v>
      </c>
      <c r="BW54" s="1314" t="e">
        <f t="shared" si="60"/>
        <v>#N/A</v>
      </c>
      <c r="BX54" s="1314" t="e">
        <f t="shared" si="61"/>
        <v>#N/A</v>
      </c>
      <c r="BY54" s="1314" t="e">
        <f t="shared" si="62"/>
        <v>#N/A</v>
      </c>
      <c r="BZ54" s="1315"/>
      <c r="CA54" s="1315"/>
      <c r="CB54" s="1315"/>
      <c r="CC54" s="1315"/>
      <c r="CD54" s="1315"/>
      <c r="CE54" s="1315"/>
      <c r="CF54" s="1315"/>
      <c r="CG54" s="1315"/>
      <c r="CH54" s="1315"/>
      <c r="CI54" s="1315"/>
      <c r="CJ54" s="1315"/>
      <c r="CK54" s="1315"/>
      <c r="CL54" s="1315"/>
      <c r="CM54" s="1315"/>
      <c r="CN54" s="1315"/>
      <c r="CO54" s="1315"/>
      <c r="CP54" s="1315"/>
      <c r="CQ54" s="1315"/>
      <c r="CR54" s="1315"/>
      <c r="CS54" s="1315"/>
      <c r="CT54" s="1315"/>
      <c r="CU54" s="1315"/>
      <c r="CV54" s="1315"/>
      <c r="CW54" s="1315"/>
      <c r="CX54" s="1315"/>
      <c r="CY54" s="1315"/>
      <c r="CZ54" s="1315"/>
      <c r="DA54" s="1315"/>
      <c r="DB54" s="1315"/>
      <c r="DC54" s="1315"/>
      <c r="DD54" s="1315"/>
      <c r="DE54" s="1315"/>
      <c r="DF54" s="1315"/>
      <c r="DG54" s="1315"/>
      <c r="DH54" s="1315"/>
      <c r="DI54" s="1315"/>
      <c r="DJ54" s="1315"/>
      <c r="DK54" s="1315"/>
      <c r="DL54" s="1315"/>
      <c r="DM54" s="1315"/>
      <c r="DN54" s="1315"/>
      <c r="DO54" s="1315"/>
      <c r="DP54" s="1315"/>
      <c r="DQ54" s="1315"/>
      <c r="DR54" s="1315"/>
      <c r="DS54" s="1315"/>
      <c r="DT54" s="1315"/>
      <c r="DU54" s="1315"/>
      <c r="DV54" s="1315"/>
      <c r="DW54" s="1315"/>
      <c r="DX54" s="1315"/>
      <c r="DY54" s="1315"/>
      <c r="DZ54" s="1315"/>
      <c r="EA54" s="1315"/>
      <c r="EB54" s="1315"/>
      <c r="EC54" s="1315"/>
      <c r="ED54" s="1315"/>
      <c r="EE54" s="1315"/>
      <c r="EF54" s="1315"/>
      <c r="EG54" s="1315"/>
      <c r="EH54" s="1315"/>
      <c r="EI54" s="1315"/>
      <c r="EJ54" s="1315"/>
      <c r="EK54" s="1315"/>
      <c r="EL54" s="1315"/>
      <c r="EM54" s="1315"/>
      <c r="EN54" s="1315"/>
      <c r="EO54" s="1315"/>
      <c r="EP54" s="1315"/>
      <c r="EQ54" s="1315"/>
      <c r="ER54" s="1315"/>
      <c r="ES54" s="1315"/>
      <c r="ET54" s="1315"/>
      <c r="EU54" s="1315"/>
      <c r="EV54" s="1315"/>
      <c r="EW54" s="1315"/>
      <c r="EX54" s="1315"/>
      <c r="EY54" s="1315"/>
      <c r="EZ54" s="1315"/>
      <c r="FA54" s="1315"/>
      <c r="FB54" s="1315"/>
      <c r="FC54" s="1315"/>
      <c r="FD54" s="1315"/>
      <c r="FE54" s="1315"/>
      <c r="FF54" s="1315"/>
      <c r="FG54" s="1315"/>
      <c r="FH54" s="1315"/>
      <c r="FI54" s="1315"/>
      <c r="FJ54" s="1315"/>
      <c r="FK54" s="1315"/>
      <c r="FL54" s="1315"/>
      <c r="FM54" s="1315"/>
      <c r="FN54" s="1315"/>
      <c r="FO54" s="1315"/>
      <c r="FP54" s="1315"/>
      <c r="FQ54" s="1315"/>
      <c r="FR54" s="1315"/>
      <c r="FS54" s="1315"/>
      <c r="FT54" s="1315"/>
      <c r="FU54" s="1315"/>
      <c r="FV54" s="1315"/>
      <c r="FW54" s="1315"/>
      <c r="FX54" s="1315"/>
      <c r="FY54" s="1315"/>
      <c r="FZ54" s="1315"/>
      <c r="GA54" s="1315"/>
      <c r="GB54" s="1315"/>
      <c r="GC54" s="1315"/>
      <c r="GD54" s="1315"/>
      <c r="GE54" s="1315"/>
      <c r="GF54" s="1315"/>
      <c r="GG54" s="1315"/>
      <c r="GH54" s="1315"/>
      <c r="GI54" s="1315"/>
      <c r="GJ54" s="1315"/>
      <c r="GK54" s="1315"/>
      <c r="GL54" s="1315"/>
      <c r="GM54" s="1315"/>
      <c r="GN54" s="1315"/>
      <c r="GO54" s="1315"/>
      <c r="GP54" s="1315"/>
      <c r="GQ54" s="1315"/>
      <c r="GR54" s="1315"/>
      <c r="GS54" s="1315"/>
      <c r="GT54" s="1315"/>
      <c r="GU54" s="1315"/>
      <c r="GV54" s="1315"/>
      <c r="GW54" s="1315"/>
      <c r="GX54" s="1315"/>
      <c r="GY54" s="1315"/>
      <c r="GZ54" s="1315"/>
      <c r="HA54" s="1315"/>
      <c r="HB54" s="1315"/>
      <c r="HC54" s="1315"/>
      <c r="HD54" s="1315"/>
      <c r="HE54" s="1315"/>
      <c r="HF54" s="1315"/>
      <c r="HG54" s="1315"/>
      <c r="HH54" s="1315"/>
      <c r="HI54" s="1315"/>
      <c r="HJ54" s="1315"/>
      <c r="HK54" s="1315"/>
      <c r="HL54" s="1315"/>
      <c r="HM54" s="1315"/>
      <c r="HN54" s="1315"/>
      <c r="HO54" s="1315"/>
      <c r="HP54" s="1315"/>
      <c r="HQ54" s="1315"/>
      <c r="HR54" s="1315"/>
      <c r="HS54" s="1315"/>
      <c r="HT54" s="1315"/>
      <c r="HU54" s="1315"/>
      <c r="HV54" s="1315"/>
      <c r="HW54" s="1315"/>
      <c r="HX54" s="1315"/>
      <c r="HY54" s="1315"/>
      <c r="HZ54" s="1315"/>
      <c r="IA54" s="1315"/>
      <c r="IB54" s="1315"/>
      <c r="IC54" s="1315"/>
      <c r="ID54" s="1315"/>
      <c r="IE54" s="1315"/>
      <c r="IF54" s="1315"/>
      <c r="IG54" s="1315"/>
      <c r="IH54" s="1315"/>
      <c r="II54" s="1315"/>
      <c r="IJ54" s="1315"/>
    </row>
    <row r="55" spans="1:244" s="53" customFormat="1" ht="12" x14ac:dyDescent="0.2">
      <c r="A55" s="444">
        <f t="shared" si="65"/>
        <v>44</v>
      </c>
      <c r="B55" s="1312">
        <v>8383</v>
      </c>
      <c r="C55" s="1313">
        <f t="shared" si="66"/>
        <v>37000</v>
      </c>
      <c r="D55" s="1313">
        <f t="shared" si="9"/>
        <v>38480</v>
      </c>
      <c r="E55" s="1313">
        <f t="shared" ref="E55:Y55" si="99">ROUNDUP(D55*(E$10+1),0)</f>
        <v>40135</v>
      </c>
      <c r="F55" s="1313">
        <f t="shared" si="99"/>
        <v>41340</v>
      </c>
      <c r="G55" s="1313">
        <f t="shared" si="99"/>
        <v>42870</v>
      </c>
      <c r="H55" s="1313">
        <f t="shared" si="99"/>
        <v>44585</v>
      </c>
      <c r="I55" s="1313">
        <f t="shared" si="99"/>
        <v>46369</v>
      </c>
      <c r="J55" s="1314">
        <f t="shared" si="99"/>
        <v>48224</v>
      </c>
      <c r="K55" s="1314" t="e">
        <f t="shared" si="99"/>
        <v>#N/A</v>
      </c>
      <c r="L55" s="1314" t="e">
        <f t="shared" si="99"/>
        <v>#N/A</v>
      </c>
      <c r="M55" s="1314" t="e">
        <f t="shared" si="99"/>
        <v>#N/A</v>
      </c>
      <c r="N55" s="1314" t="e">
        <f t="shared" si="99"/>
        <v>#N/A</v>
      </c>
      <c r="O55" s="1314" t="e">
        <f t="shared" si="99"/>
        <v>#N/A</v>
      </c>
      <c r="P55" s="1314" t="e">
        <f t="shared" si="99"/>
        <v>#N/A</v>
      </c>
      <c r="Q55" s="1314" t="e">
        <f t="shared" si="99"/>
        <v>#N/A</v>
      </c>
      <c r="R55" s="1314" t="e">
        <f t="shared" si="99"/>
        <v>#N/A</v>
      </c>
      <c r="S55" s="1314" t="e">
        <f t="shared" si="99"/>
        <v>#N/A</v>
      </c>
      <c r="T55" s="1314" t="e">
        <f t="shared" si="99"/>
        <v>#N/A</v>
      </c>
      <c r="U55" s="1314" t="e">
        <f t="shared" si="99"/>
        <v>#N/A</v>
      </c>
      <c r="V55" s="1314" t="e">
        <f t="shared" si="99"/>
        <v>#N/A</v>
      </c>
      <c r="W55" s="1314" t="e">
        <f t="shared" si="99"/>
        <v>#N/A</v>
      </c>
      <c r="X55" s="1314" t="e">
        <f t="shared" si="99"/>
        <v>#N/A</v>
      </c>
      <c r="Y55" s="1314" t="e">
        <f t="shared" si="99"/>
        <v>#N/A</v>
      </c>
      <c r="Z55" s="1314" t="e">
        <f t="shared" si="11"/>
        <v>#N/A</v>
      </c>
      <c r="AA55" s="1314" t="e">
        <f t="shared" si="12"/>
        <v>#N/A</v>
      </c>
      <c r="AB55" s="1314" t="e">
        <f t="shared" si="13"/>
        <v>#N/A</v>
      </c>
      <c r="AC55" s="1314" t="e">
        <f t="shared" si="14"/>
        <v>#N/A</v>
      </c>
      <c r="AD55" s="1314" t="e">
        <f t="shared" si="15"/>
        <v>#N/A</v>
      </c>
      <c r="AE55" s="1314" t="e">
        <f t="shared" si="16"/>
        <v>#N/A</v>
      </c>
      <c r="AF55" s="1314" t="e">
        <f t="shared" si="17"/>
        <v>#N/A</v>
      </c>
      <c r="AG55" s="1314" t="e">
        <f t="shared" si="18"/>
        <v>#N/A</v>
      </c>
      <c r="AH55" s="1314" t="e">
        <f t="shared" si="19"/>
        <v>#N/A</v>
      </c>
      <c r="AI55" s="1314" t="e">
        <f t="shared" si="20"/>
        <v>#N/A</v>
      </c>
      <c r="AJ55" s="1314" t="e">
        <f t="shared" si="21"/>
        <v>#N/A</v>
      </c>
      <c r="AK55" s="1314" t="e">
        <f t="shared" si="22"/>
        <v>#N/A</v>
      </c>
      <c r="AL55" s="1314" t="e">
        <f t="shared" si="23"/>
        <v>#N/A</v>
      </c>
      <c r="AM55" s="1314" t="e">
        <f t="shared" si="24"/>
        <v>#N/A</v>
      </c>
      <c r="AN55" s="1314" t="e">
        <f t="shared" si="25"/>
        <v>#N/A</v>
      </c>
      <c r="AO55" s="1314" t="e">
        <f t="shared" si="26"/>
        <v>#N/A</v>
      </c>
      <c r="AP55" s="1314" t="e">
        <f t="shared" si="27"/>
        <v>#N/A</v>
      </c>
      <c r="AQ55" s="1314" t="e">
        <f t="shared" si="28"/>
        <v>#N/A</v>
      </c>
      <c r="AR55" s="1314" t="e">
        <f t="shared" si="29"/>
        <v>#N/A</v>
      </c>
      <c r="AS55" s="1314" t="e">
        <f t="shared" si="30"/>
        <v>#N/A</v>
      </c>
      <c r="AT55" s="1314" t="e">
        <f t="shared" si="31"/>
        <v>#N/A</v>
      </c>
      <c r="AU55" s="1314" t="e">
        <f t="shared" si="32"/>
        <v>#N/A</v>
      </c>
      <c r="AV55" s="1314" t="e">
        <f t="shared" si="33"/>
        <v>#N/A</v>
      </c>
      <c r="AW55" s="1314" t="e">
        <f t="shared" si="34"/>
        <v>#N/A</v>
      </c>
      <c r="AX55" s="1314" t="e">
        <f t="shared" si="35"/>
        <v>#N/A</v>
      </c>
      <c r="AY55" s="1314" t="e">
        <f t="shared" si="36"/>
        <v>#N/A</v>
      </c>
      <c r="AZ55" s="1314" t="e">
        <f t="shared" si="37"/>
        <v>#N/A</v>
      </c>
      <c r="BA55" s="1314" t="e">
        <f t="shared" si="38"/>
        <v>#N/A</v>
      </c>
      <c r="BB55" s="1314" t="e">
        <f t="shared" si="39"/>
        <v>#N/A</v>
      </c>
      <c r="BC55" s="1314" t="e">
        <f t="shared" si="40"/>
        <v>#N/A</v>
      </c>
      <c r="BD55" s="1314" t="e">
        <f t="shared" si="41"/>
        <v>#N/A</v>
      </c>
      <c r="BE55" s="1314" t="e">
        <f t="shared" si="42"/>
        <v>#N/A</v>
      </c>
      <c r="BF55" s="1314" t="e">
        <f t="shared" si="43"/>
        <v>#N/A</v>
      </c>
      <c r="BG55" s="1314" t="e">
        <f t="shared" si="44"/>
        <v>#N/A</v>
      </c>
      <c r="BH55" s="1314" t="e">
        <f t="shared" si="45"/>
        <v>#N/A</v>
      </c>
      <c r="BI55" s="1314" t="e">
        <f t="shared" si="46"/>
        <v>#N/A</v>
      </c>
      <c r="BJ55" s="1314" t="e">
        <f t="shared" si="47"/>
        <v>#N/A</v>
      </c>
      <c r="BK55" s="1314" t="e">
        <f t="shared" si="48"/>
        <v>#N/A</v>
      </c>
      <c r="BL55" s="1314" t="e">
        <f t="shared" si="49"/>
        <v>#N/A</v>
      </c>
      <c r="BM55" s="1314" t="e">
        <f t="shared" si="50"/>
        <v>#N/A</v>
      </c>
      <c r="BN55" s="1314" t="e">
        <f t="shared" si="51"/>
        <v>#N/A</v>
      </c>
      <c r="BO55" s="1314" t="e">
        <f t="shared" si="52"/>
        <v>#N/A</v>
      </c>
      <c r="BP55" s="1314" t="e">
        <f t="shared" si="53"/>
        <v>#N/A</v>
      </c>
      <c r="BQ55" s="1314" t="e">
        <f t="shared" si="54"/>
        <v>#N/A</v>
      </c>
      <c r="BR55" s="1314" t="e">
        <f t="shared" si="55"/>
        <v>#N/A</v>
      </c>
      <c r="BS55" s="1314" t="e">
        <f t="shared" si="56"/>
        <v>#N/A</v>
      </c>
      <c r="BT55" s="1314" t="e">
        <f t="shared" si="57"/>
        <v>#N/A</v>
      </c>
      <c r="BU55" s="1314" t="e">
        <f t="shared" si="58"/>
        <v>#N/A</v>
      </c>
      <c r="BV55" s="1314" t="e">
        <f t="shared" si="59"/>
        <v>#N/A</v>
      </c>
      <c r="BW55" s="1314" t="e">
        <f t="shared" si="60"/>
        <v>#N/A</v>
      </c>
      <c r="BX55" s="1314" t="e">
        <f t="shared" si="61"/>
        <v>#N/A</v>
      </c>
      <c r="BY55" s="1314" t="e">
        <f t="shared" si="62"/>
        <v>#N/A</v>
      </c>
      <c r="BZ55" s="1315"/>
      <c r="CA55" s="1315"/>
      <c r="CB55" s="1315"/>
      <c r="CC55" s="1315"/>
      <c r="CD55" s="1315"/>
      <c r="CE55" s="1315"/>
      <c r="CF55" s="1315"/>
      <c r="CG55" s="1315"/>
      <c r="CH55" s="1315"/>
      <c r="CI55" s="1315"/>
      <c r="CJ55" s="1315"/>
      <c r="CK55" s="1315"/>
      <c r="CL55" s="1315"/>
      <c r="CM55" s="1315"/>
      <c r="CN55" s="1315"/>
      <c r="CO55" s="1315"/>
      <c r="CP55" s="1315"/>
      <c r="CQ55" s="1315"/>
      <c r="CR55" s="1315"/>
      <c r="CS55" s="1315"/>
      <c r="CT55" s="1315"/>
      <c r="CU55" s="1315"/>
      <c r="CV55" s="1315"/>
      <c r="CW55" s="1315"/>
      <c r="CX55" s="1315"/>
      <c r="CY55" s="1315"/>
      <c r="CZ55" s="1315"/>
      <c r="DA55" s="1315"/>
      <c r="DB55" s="1315"/>
      <c r="DC55" s="1315"/>
      <c r="DD55" s="1315"/>
      <c r="DE55" s="1315"/>
      <c r="DF55" s="1315"/>
      <c r="DG55" s="1315"/>
      <c r="DH55" s="1315"/>
      <c r="DI55" s="1315"/>
      <c r="DJ55" s="1315"/>
      <c r="DK55" s="1315"/>
      <c r="DL55" s="1315"/>
      <c r="DM55" s="1315"/>
      <c r="DN55" s="1315"/>
      <c r="DO55" s="1315"/>
      <c r="DP55" s="1315"/>
      <c r="DQ55" s="1315"/>
      <c r="DR55" s="1315"/>
      <c r="DS55" s="1315"/>
      <c r="DT55" s="1315"/>
      <c r="DU55" s="1315"/>
      <c r="DV55" s="1315"/>
      <c r="DW55" s="1315"/>
      <c r="DX55" s="1315"/>
      <c r="DY55" s="1315"/>
      <c r="DZ55" s="1315"/>
      <c r="EA55" s="1315"/>
      <c r="EB55" s="1315"/>
      <c r="EC55" s="1315"/>
      <c r="ED55" s="1315"/>
      <c r="EE55" s="1315"/>
      <c r="EF55" s="1315"/>
      <c r="EG55" s="1315"/>
      <c r="EH55" s="1315"/>
      <c r="EI55" s="1315"/>
      <c r="EJ55" s="1315"/>
      <c r="EK55" s="1315"/>
      <c r="EL55" s="1315"/>
      <c r="EM55" s="1315"/>
      <c r="EN55" s="1315"/>
      <c r="EO55" s="1315"/>
      <c r="EP55" s="1315"/>
      <c r="EQ55" s="1315"/>
      <c r="ER55" s="1315"/>
      <c r="ES55" s="1315"/>
      <c r="ET55" s="1315"/>
      <c r="EU55" s="1315"/>
      <c r="EV55" s="1315"/>
      <c r="EW55" s="1315"/>
      <c r="EX55" s="1315"/>
      <c r="EY55" s="1315"/>
      <c r="EZ55" s="1315"/>
      <c r="FA55" s="1315"/>
      <c r="FB55" s="1315"/>
      <c r="FC55" s="1315"/>
      <c r="FD55" s="1315"/>
      <c r="FE55" s="1315"/>
      <c r="FF55" s="1315"/>
      <c r="FG55" s="1315"/>
      <c r="FH55" s="1315"/>
      <c r="FI55" s="1315"/>
      <c r="FJ55" s="1315"/>
      <c r="FK55" s="1315"/>
      <c r="FL55" s="1315"/>
      <c r="FM55" s="1315"/>
      <c r="FN55" s="1315"/>
      <c r="FO55" s="1315"/>
      <c r="FP55" s="1315"/>
      <c r="FQ55" s="1315"/>
      <c r="FR55" s="1315"/>
      <c r="FS55" s="1315"/>
      <c r="FT55" s="1315"/>
      <c r="FU55" s="1315"/>
      <c r="FV55" s="1315"/>
      <c r="FW55" s="1315"/>
      <c r="FX55" s="1315"/>
      <c r="FY55" s="1315"/>
      <c r="FZ55" s="1315"/>
      <c r="GA55" s="1315"/>
      <c r="GB55" s="1315"/>
      <c r="GC55" s="1315"/>
      <c r="GD55" s="1315"/>
      <c r="GE55" s="1315"/>
      <c r="GF55" s="1315"/>
      <c r="GG55" s="1315"/>
      <c r="GH55" s="1315"/>
      <c r="GI55" s="1315"/>
      <c r="GJ55" s="1315"/>
      <c r="GK55" s="1315"/>
      <c r="GL55" s="1315"/>
      <c r="GM55" s="1315"/>
      <c r="GN55" s="1315"/>
      <c r="GO55" s="1315"/>
      <c r="GP55" s="1315"/>
      <c r="GQ55" s="1315"/>
      <c r="GR55" s="1315"/>
      <c r="GS55" s="1315"/>
      <c r="GT55" s="1315"/>
      <c r="GU55" s="1315"/>
      <c r="GV55" s="1315"/>
      <c r="GW55" s="1315"/>
      <c r="GX55" s="1315"/>
      <c r="GY55" s="1315"/>
      <c r="GZ55" s="1315"/>
      <c r="HA55" s="1315"/>
      <c r="HB55" s="1315"/>
      <c r="HC55" s="1315"/>
      <c r="HD55" s="1315"/>
      <c r="HE55" s="1315"/>
      <c r="HF55" s="1315"/>
      <c r="HG55" s="1315"/>
      <c r="HH55" s="1315"/>
      <c r="HI55" s="1315"/>
      <c r="HJ55" s="1315"/>
      <c r="HK55" s="1315"/>
      <c r="HL55" s="1315"/>
      <c r="HM55" s="1315"/>
      <c r="HN55" s="1315"/>
      <c r="HO55" s="1315"/>
      <c r="HP55" s="1315"/>
      <c r="HQ55" s="1315"/>
      <c r="HR55" s="1315"/>
      <c r="HS55" s="1315"/>
      <c r="HT55" s="1315"/>
      <c r="HU55" s="1315"/>
      <c r="HV55" s="1315"/>
      <c r="HW55" s="1315"/>
      <c r="HX55" s="1315"/>
      <c r="HY55" s="1315"/>
      <c r="HZ55" s="1315"/>
      <c r="IA55" s="1315"/>
      <c r="IB55" s="1315"/>
      <c r="IC55" s="1315"/>
      <c r="ID55" s="1315"/>
      <c r="IE55" s="1315"/>
      <c r="IF55" s="1315"/>
      <c r="IG55" s="1315"/>
      <c r="IH55" s="1315"/>
      <c r="II55" s="1315"/>
      <c r="IJ55" s="1315"/>
    </row>
    <row r="56" spans="1:244" s="53" customFormat="1" ht="12" x14ac:dyDescent="0.2">
      <c r="A56" s="444">
        <f t="shared" si="65"/>
        <v>45</v>
      </c>
      <c r="B56" s="1312">
        <v>8584</v>
      </c>
      <c r="C56" s="1313">
        <f t="shared" si="66"/>
        <v>37500</v>
      </c>
      <c r="D56" s="1313">
        <f t="shared" si="9"/>
        <v>39000</v>
      </c>
      <c r="E56" s="1313">
        <f t="shared" ref="E56:Y56" si="100">ROUNDUP(D56*(E$10+1),0)</f>
        <v>40677</v>
      </c>
      <c r="F56" s="1313">
        <f t="shared" si="100"/>
        <v>41898</v>
      </c>
      <c r="G56" s="1313">
        <f t="shared" si="100"/>
        <v>43449</v>
      </c>
      <c r="H56" s="1313">
        <f t="shared" si="100"/>
        <v>45187</v>
      </c>
      <c r="I56" s="1313">
        <f t="shared" si="100"/>
        <v>46995</v>
      </c>
      <c r="J56" s="1314">
        <f t="shared" si="100"/>
        <v>48875</v>
      </c>
      <c r="K56" s="1314" t="e">
        <f t="shared" si="100"/>
        <v>#N/A</v>
      </c>
      <c r="L56" s="1314" t="e">
        <f t="shared" si="100"/>
        <v>#N/A</v>
      </c>
      <c r="M56" s="1314" t="e">
        <f t="shared" si="100"/>
        <v>#N/A</v>
      </c>
      <c r="N56" s="1314" t="e">
        <f t="shared" si="100"/>
        <v>#N/A</v>
      </c>
      <c r="O56" s="1314" t="e">
        <f t="shared" si="100"/>
        <v>#N/A</v>
      </c>
      <c r="P56" s="1314" t="e">
        <f t="shared" si="100"/>
        <v>#N/A</v>
      </c>
      <c r="Q56" s="1314" t="e">
        <f t="shared" si="100"/>
        <v>#N/A</v>
      </c>
      <c r="R56" s="1314" t="e">
        <f t="shared" si="100"/>
        <v>#N/A</v>
      </c>
      <c r="S56" s="1314" t="e">
        <f t="shared" si="100"/>
        <v>#N/A</v>
      </c>
      <c r="T56" s="1314" t="e">
        <f t="shared" si="100"/>
        <v>#N/A</v>
      </c>
      <c r="U56" s="1314" t="e">
        <f t="shared" si="100"/>
        <v>#N/A</v>
      </c>
      <c r="V56" s="1314" t="e">
        <f t="shared" si="100"/>
        <v>#N/A</v>
      </c>
      <c r="W56" s="1314" t="e">
        <f t="shared" si="100"/>
        <v>#N/A</v>
      </c>
      <c r="X56" s="1314" t="e">
        <f t="shared" si="100"/>
        <v>#N/A</v>
      </c>
      <c r="Y56" s="1314" t="e">
        <f t="shared" si="100"/>
        <v>#N/A</v>
      </c>
      <c r="Z56" s="1314" t="e">
        <f t="shared" si="11"/>
        <v>#N/A</v>
      </c>
      <c r="AA56" s="1314" t="e">
        <f t="shared" si="12"/>
        <v>#N/A</v>
      </c>
      <c r="AB56" s="1314" t="e">
        <f t="shared" si="13"/>
        <v>#N/A</v>
      </c>
      <c r="AC56" s="1314" t="e">
        <f t="shared" si="14"/>
        <v>#N/A</v>
      </c>
      <c r="AD56" s="1314" t="e">
        <f t="shared" si="15"/>
        <v>#N/A</v>
      </c>
      <c r="AE56" s="1314" t="e">
        <f t="shared" si="16"/>
        <v>#N/A</v>
      </c>
      <c r="AF56" s="1314" t="e">
        <f t="shared" si="17"/>
        <v>#N/A</v>
      </c>
      <c r="AG56" s="1314" t="e">
        <f t="shared" si="18"/>
        <v>#N/A</v>
      </c>
      <c r="AH56" s="1314" t="e">
        <f t="shared" si="19"/>
        <v>#N/A</v>
      </c>
      <c r="AI56" s="1314" t="e">
        <f t="shared" si="20"/>
        <v>#N/A</v>
      </c>
      <c r="AJ56" s="1314" t="e">
        <f t="shared" si="21"/>
        <v>#N/A</v>
      </c>
      <c r="AK56" s="1314" t="e">
        <f t="shared" si="22"/>
        <v>#N/A</v>
      </c>
      <c r="AL56" s="1314" t="e">
        <f t="shared" si="23"/>
        <v>#N/A</v>
      </c>
      <c r="AM56" s="1314" t="e">
        <f t="shared" si="24"/>
        <v>#N/A</v>
      </c>
      <c r="AN56" s="1314" t="e">
        <f t="shared" si="25"/>
        <v>#N/A</v>
      </c>
      <c r="AO56" s="1314" t="e">
        <f t="shared" si="26"/>
        <v>#N/A</v>
      </c>
      <c r="AP56" s="1314" t="e">
        <f t="shared" si="27"/>
        <v>#N/A</v>
      </c>
      <c r="AQ56" s="1314" t="e">
        <f t="shared" si="28"/>
        <v>#N/A</v>
      </c>
      <c r="AR56" s="1314" t="e">
        <f t="shared" si="29"/>
        <v>#N/A</v>
      </c>
      <c r="AS56" s="1314" t="e">
        <f t="shared" si="30"/>
        <v>#N/A</v>
      </c>
      <c r="AT56" s="1314" t="e">
        <f t="shared" si="31"/>
        <v>#N/A</v>
      </c>
      <c r="AU56" s="1314" t="e">
        <f t="shared" si="32"/>
        <v>#N/A</v>
      </c>
      <c r="AV56" s="1314" t="e">
        <f t="shared" si="33"/>
        <v>#N/A</v>
      </c>
      <c r="AW56" s="1314" t="e">
        <f t="shared" si="34"/>
        <v>#N/A</v>
      </c>
      <c r="AX56" s="1314" t="e">
        <f t="shared" si="35"/>
        <v>#N/A</v>
      </c>
      <c r="AY56" s="1314" t="e">
        <f t="shared" si="36"/>
        <v>#N/A</v>
      </c>
      <c r="AZ56" s="1314" t="e">
        <f t="shared" si="37"/>
        <v>#N/A</v>
      </c>
      <c r="BA56" s="1314" t="e">
        <f t="shared" si="38"/>
        <v>#N/A</v>
      </c>
      <c r="BB56" s="1314" t="e">
        <f t="shared" si="39"/>
        <v>#N/A</v>
      </c>
      <c r="BC56" s="1314" t="e">
        <f t="shared" si="40"/>
        <v>#N/A</v>
      </c>
      <c r="BD56" s="1314" t="e">
        <f t="shared" si="41"/>
        <v>#N/A</v>
      </c>
      <c r="BE56" s="1314" t="e">
        <f t="shared" si="42"/>
        <v>#N/A</v>
      </c>
      <c r="BF56" s="1314" t="e">
        <f t="shared" si="43"/>
        <v>#N/A</v>
      </c>
      <c r="BG56" s="1314" t="e">
        <f t="shared" si="44"/>
        <v>#N/A</v>
      </c>
      <c r="BH56" s="1314" t="e">
        <f t="shared" si="45"/>
        <v>#N/A</v>
      </c>
      <c r="BI56" s="1314" t="e">
        <f t="shared" si="46"/>
        <v>#N/A</v>
      </c>
      <c r="BJ56" s="1314" t="e">
        <f t="shared" si="47"/>
        <v>#N/A</v>
      </c>
      <c r="BK56" s="1314" t="e">
        <f t="shared" si="48"/>
        <v>#N/A</v>
      </c>
      <c r="BL56" s="1314" t="e">
        <f t="shared" si="49"/>
        <v>#N/A</v>
      </c>
      <c r="BM56" s="1314" t="e">
        <f t="shared" si="50"/>
        <v>#N/A</v>
      </c>
      <c r="BN56" s="1314" t="e">
        <f t="shared" si="51"/>
        <v>#N/A</v>
      </c>
      <c r="BO56" s="1314" t="e">
        <f t="shared" si="52"/>
        <v>#N/A</v>
      </c>
      <c r="BP56" s="1314" t="e">
        <f t="shared" si="53"/>
        <v>#N/A</v>
      </c>
      <c r="BQ56" s="1314" t="e">
        <f t="shared" si="54"/>
        <v>#N/A</v>
      </c>
      <c r="BR56" s="1314" t="e">
        <f t="shared" si="55"/>
        <v>#N/A</v>
      </c>
      <c r="BS56" s="1314" t="e">
        <f t="shared" si="56"/>
        <v>#N/A</v>
      </c>
      <c r="BT56" s="1314" t="e">
        <f t="shared" si="57"/>
        <v>#N/A</v>
      </c>
      <c r="BU56" s="1314" t="e">
        <f t="shared" si="58"/>
        <v>#N/A</v>
      </c>
      <c r="BV56" s="1314" t="e">
        <f t="shared" si="59"/>
        <v>#N/A</v>
      </c>
      <c r="BW56" s="1314" t="e">
        <f t="shared" si="60"/>
        <v>#N/A</v>
      </c>
      <c r="BX56" s="1314" t="e">
        <f t="shared" si="61"/>
        <v>#N/A</v>
      </c>
      <c r="BY56" s="1314" t="e">
        <f t="shared" si="62"/>
        <v>#N/A</v>
      </c>
      <c r="BZ56" s="1315"/>
      <c r="CA56" s="1315"/>
      <c r="CB56" s="1315"/>
      <c r="CC56" s="1315"/>
      <c r="CD56" s="1315"/>
      <c r="CE56" s="1315"/>
      <c r="CF56" s="1315"/>
      <c r="CG56" s="1315"/>
      <c r="CH56" s="1315"/>
      <c r="CI56" s="1315"/>
      <c r="CJ56" s="1315"/>
      <c r="CK56" s="1315"/>
      <c r="CL56" s="1315"/>
      <c r="CM56" s="1315"/>
      <c r="CN56" s="1315"/>
      <c r="CO56" s="1315"/>
      <c r="CP56" s="1315"/>
      <c r="CQ56" s="1315"/>
      <c r="CR56" s="1315"/>
      <c r="CS56" s="1315"/>
      <c r="CT56" s="1315"/>
      <c r="CU56" s="1315"/>
      <c r="CV56" s="1315"/>
      <c r="CW56" s="1315"/>
      <c r="CX56" s="1315"/>
      <c r="CY56" s="1315"/>
      <c r="CZ56" s="1315"/>
      <c r="DA56" s="1315"/>
      <c r="DB56" s="1315"/>
      <c r="DC56" s="1315"/>
      <c r="DD56" s="1315"/>
      <c r="DE56" s="1315"/>
      <c r="DF56" s="1315"/>
      <c r="DG56" s="1315"/>
      <c r="DH56" s="1315"/>
      <c r="DI56" s="1315"/>
      <c r="DJ56" s="1315"/>
      <c r="DK56" s="1315"/>
      <c r="DL56" s="1315"/>
      <c r="DM56" s="1315"/>
      <c r="DN56" s="1315"/>
      <c r="DO56" s="1315"/>
      <c r="DP56" s="1315"/>
      <c r="DQ56" s="1315"/>
      <c r="DR56" s="1315"/>
      <c r="DS56" s="1315"/>
      <c r="DT56" s="1315"/>
      <c r="DU56" s="1315"/>
      <c r="DV56" s="1315"/>
      <c r="DW56" s="1315"/>
      <c r="DX56" s="1315"/>
      <c r="DY56" s="1315"/>
      <c r="DZ56" s="1315"/>
      <c r="EA56" s="1315"/>
      <c r="EB56" s="1315"/>
      <c r="EC56" s="1315"/>
      <c r="ED56" s="1315"/>
      <c r="EE56" s="1315"/>
      <c r="EF56" s="1315"/>
      <c r="EG56" s="1315"/>
      <c r="EH56" s="1315"/>
      <c r="EI56" s="1315"/>
      <c r="EJ56" s="1315"/>
      <c r="EK56" s="1315"/>
      <c r="EL56" s="1315"/>
      <c r="EM56" s="1315"/>
      <c r="EN56" s="1315"/>
      <c r="EO56" s="1315"/>
      <c r="EP56" s="1315"/>
      <c r="EQ56" s="1315"/>
      <c r="ER56" s="1315"/>
      <c r="ES56" s="1315"/>
      <c r="ET56" s="1315"/>
      <c r="EU56" s="1315"/>
      <c r="EV56" s="1315"/>
      <c r="EW56" s="1315"/>
      <c r="EX56" s="1315"/>
      <c r="EY56" s="1315"/>
      <c r="EZ56" s="1315"/>
      <c r="FA56" s="1315"/>
      <c r="FB56" s="1315"/>
      <c r="FC56" s="1315"/>
      <c r="FD56" s="1315"/>
      <c r="FE56" s="1315"/>
      <c r="FF56" s="1315"/>
      <c r="FG56" s="1315"/>
      <c r="FH56" s="1315"/>
      <c r="FI56" s="1315"/>
      <c r="FJ56" s="1315"/>
      <c r="FK56" s="1315"/>
      <c r="FL56" s="1315"/>
      <c r="FM56" s="1315"/>
      <c r="FN56" s="1315"/>
      <c r="FO56" s="1315"/>
      <c r="FP56" s="1315"/>
      <c r="FQ56" s="1315"/>
      <c r="FR56" s="1315"/>
      <c r="FS56" s="1315"/>
      <c r="FT56" s="1315"/>
      <c r="FU56" s="1315"/>
      <c r="FV56" s="1315"/>
      <c r="FW56" s="1315"/>
      <c r="FX56" s="1315"/>
      <c r="FY56" s="1315"/>
      <c r="FZ56" s="1315"/>
      <c r="GA56" s="1315"/>
      <c r="GB56" s="1315"/>
      <c r="GC56" s="1315"/>
      <c r="GD56" s="1315"/>
      <c r="GE56" s="1315"/>
      <c r="GF56" s="1315"/>
      <c r="GG56" s="1315"/>
      <c r="GH56" s="1315"/>
      <c r="GI56" s="1315"/>
      <c r="GJ56" s="1315"/>
      <c r="GK56" s="1315"/>
      <c r="GL56" s="1315"/>
      <c r="GM56" s="1315"/>
      <c r="GN56" s="1315"/>
      <c r="GO56" s="1315"/>
      <c r="GP56" s="1315"/>
      <c r="GQ56" s="1315"/>
      <c r="GR56" s="1315"/>
      <c r="GS56" s="1315"/>
      <c r="GT56" s="1315"/>
      <c r="GU56" s="1315"/>
      <c r="GV56" s="1315"/>
      <c r="GW56" s="1315"/>
      <c r="GX56" s="1315"/>
      <c r="GY56" s="1315"/>
      <c r="GZ56" s="1315"/>
      <c r="HA56" s="1315"/>
      <c r="HB56" s="1315"/>
      <c r="HC56" s="1315"/>
      <c r="HD56" s="1315"/>
      <c r="HE56" s="1315"/>
      <c r="HF56" s="1315"/>
      <c r="HG56" s="1315"/>
      <c r="HH56" s="1315"/>
      <c r="HI56" s="1315"/>
      <c r="HJ56" s="1315"/>
      <c r="HK56" s="1315"/>
      <c r="HL56" s="1315"/>
      <c r="HM56" s="1315"/>
      <c r="HN56" s="1315"/>
      <c r="HO56" s="1315"/>
      <c r="HP56" s="1315"/>
      <c r="HQ56" s="1315"/>
      <c r="HR56" s="1315"/>
      <c r="HS56" s="1315"/>
      <c r="HT56" s="1315"/>
      <c r="HU56" s="1315"/>
      <c r="HV56" s="1315"/>
      <c r="HW56" s="1315"/>
      <c r="HX56" s="1315"/>
      <c r="HY56" s="1315"/>
      <c r="HZ56" s="1315"/>
      <c r="IA56" s="1315"/>
      <c r="IB56" s="1315"/>
      <c r="IC56" s="1315"/>
      <c r="ID56" s="1315"/>
      <c r="IE56" s="1315"/>
      <c r="IF56" s="1315"/>
      <c r="IG56" s="1315"/>
      <c r="IH56" s="1315"/>
      <c r="II56" s="1315"/>
      <c r="IJ56" s="1315"/>
    </row>
    <row r="57" spans="1:244" s="53" customFormat="1" ht="12" x14ac:dyDescent="0.2">
      <c r="A57" s="444">
        <f t="shared" si="65"/>
        <v>46</v>
      </c>
      <c r="B57" s="1312">
        <v>8782</v>
      </c>
      <c r="C57" s="1313">
        <f t="shared" si="66"/>
        <v>38000</v>
      </c>
      <c r="D57" s="1313">
        <f t="shared" si="9"/>
        <v>39520</v>
      </c>
      <c r="E57" s="1313">
        <f t="shared" ref="E57:Y59" si="101">ROUNDUP(D57*(E$10+1),0)</f>
        <v>41220</v>
      </c>
      <c r="F57" s="1313">
        <f t="shared" si="101"/>
        <v>42457</v>
      </c>
      <c r="G57" s="1313">
        <f t="shared" si="101"/>
        <v>44028</v>
      </c>
      <c r="H57" s="1313">
        <f t="shared" si="101"/>
        <v>45790</v>
      </c>
      <c r="I57" s="1313">
        <f t="shared" si="101"/>
        <v>47622</v>
      </c>
      <c r="J57" s="1314">
        <f t="shared" si="101"/>
        <v>49527</v>
      </c>
      <c r="K57" s="1314" t="e">
        <f t="shared" si="101"/>
        <v>#N/A</v>
      </c>
      <c r="L57" s="1314" t="e">
        <f t="shared" si="101"/>
        <v>#N/A</v>
      </c>
      <c r="M57" s="1314" t="e">
        <f t="shared" si="101"/>
        <v>#N/A</v>
      </c>
      <c r="N57" s="1314" t="e">
        <f t="shared" si="101"/>
        <v>#N/A</v>
      </c>
      <c r="O57" s="1314" t="e">
        <f t="shared" si="101"/>
        <v>#N/A</v>
      </c>
      <c r="P57" s="1314" t="e">
        <f t="shared" si="101"/>
        <v>#N/A</v>
      </c>
      <c r="Q57" s="1314" t="e">
        <f t="shared" si="101"/>
        <v>#N/A</v>
      </c>
      <c r="R57" s="1314" t="e">
        <f t="shared" si="101"/>
        <v>#N/A</v>
      </c>
      <c r="S57" s="1314" t="e">
        <f t="shared" si="101"/>
        <v>#N/A</v>
      </c>
      <c r="T57" s="1314" t="e">
        <f t="shared" si="101"/>
        <v>#N/A</v>
      </c>
      <c r="U57" s="1314" t="e">
        <f t="shared" si="101"/>
        <v>#N/A</v>
      </c>
      <c r="V57" s="1314" t="e">
        <f t="shared" si="101"/>
        <v>#N/A</v>
      </c>
      <c r="W57" s="1314" t="e">
        <f t="shared" si="101"/>
        <v>#N/A</v>
      </c>
      <c r="X57" s="1314" t="e">
        <f t="shared" si="101"/>
        <v>#N/A</v>
      </c>
      <c r="Y57" s="1314" t="e">
        <f t="shared" si="101"/>
        <v>#N/A</v>
      </c>
      <c r="Z57" s="1314" t="e">
        <f t="shared" si="11"/>
        <v>#N/A</v>
      </c>
      <c r="AA57" s="1314" t="e">
        <f t="shared" si="12"/>
        <v>#N/A</v>
      </c>
      <c r="AB57" s="1314" t="e">
        <f t="shared" si="13"/>
        <v>#N/A</v>
      </c>
      <c r="AC57" s="1314" t="e">
        <f t="shared" si="14"/>
        <v>#N/A</v>
      </c>
      <c r="AD57" s="1314" t="e">
        <f t="shared" si="15"/>
        <v>#N/A</v>
      </c>
      <c r="AE57" s="1314" t="e">
        <f t="shared" si="16"/>
        <v>#N/A</v>
      </c>
      <c r="AF57" s="1314" t="e">
        <f t="shared" si="17"/>
        <v>#N/A</v>
      </c>
      <c r="AG57" s="1314" t="e">
        <f t="shared" si="18"/>
        <v>#N/A</v>
      </c>
      <c r="AH57" s="1314" t="e">
        <f t="shared" si="19"/>
        <v>#N/A</v>
      </c>
      <c r="AI57" s="1314" t="e">
        <f t="shared" si="20"/>
        <v>#N/A</v>
      </c>
      <c r="AJ57" s="1314" t="e">
        <f t="shared" si="21"/>
        <v>#N/A</v>
      </c>
      <c r="AK57" s="1314" t="e">
        <f t="shared" si="22"/>
        <v>#N/A</v>
      </c>
      <c r="AL57" s="1314" t="e">
        <f t="shared" si="23"/>
        <v>#N/A</v>
      </c>
      <c r="AM57" s="1314" t="e">
        <f t="shared" si="24"/>
        <v>#N/A</v>
      </c>
      <c r="AN57" s="1314" t="e">
        <f t="shared" si="25"/>
        <v>#N/A</v>
      </c>
      <c r="AO57" s="1314" t="e">
        <f t="shared" si="26"/>
        <v>#N/A</v>
      </c>
      <c r="AP57" s="1314" t="e">
        <f t="shared" si="27"/>
        <v>#N/A</v>
      </c>
      <c r="AQ57" s="1314" t="e">
        <f t="shared" si="28"/>
        <v>#N/A</v>
      </c>
      <c r="AR57" s="1314" t="e">
        <f t="shared" si="29"/>
        <v>#N/A</v>
      </c>
      <c r="AS57" s="1314" t="e">
        <f t="shared" si="30"/>
        <v>#N/A</v>
      </c>
      <c r="AT57" s="1314" t="e">
        <f t="shared" si="31"/>
        <v>#N/A</v>
      </c>
      <c r="AU57" s="1314" t="e">
        <f t="shared" si="32"/>
        <v>#N/A</v>
      </c>
      <c r="AV57" s="1314" t="e">
        <f t="shared" si="33"/>
        <v>#N/A</v>
      </c>
      <c r="AW57" s="1314" t="e">
        <f t="shared" si="34"/>
        <v>#N/A</v>
      </c>
      <c r="AX57" s="1314" t="e">
        <f t="shared" si="35"/>
        <v>#N/A</v>
      </c>
      <c r="AY57" s="1314" t="e">
        <f t="shared" si="36"/>
        <v>#N/A</v>
      </c>
      <c r="AZ57" s="1314" t="e">
        <f t="shared" si="37"/>
        <v>#N/A</v>
      </c>
      <c r="BA57" s="1314" t="e">
        <f t="shared" si="38"/>
        <v>#N/A</v>
      </c>
      <c r="BB57" s="1314" t="e">
        <f t="shared" si="39"/>
        <v>#N/A</v>
      </c>
      <c r="BC57" s="1314" t="e">
        <f t="shared" si="40"/>
        <v>#N/A</v>
      </c>
      <c r="BD57" s="1314" t="e">
        <f t="shared" si="41"/>
        <v>#N/A</v>
      </c>
      <c r="BE57" s="1314" t="e">
        <f t="shared" si="42"/>
        <v>#N/A</v>
      </c>
      <c r="BF57" s="1314" t="e">
        <f t="shared" si="43"/>
        <v>#N/A</v>
      </c>
      <c r="BG57" s="1314" t="e">
        <f t="shared" si="44"/>
        <v>#N/A</v>
      </c>
      <c r="BH57" s="1314" t="e">
        <f t="shared" si="45"/>
        <v>#N/A</v>
      </c>
      <c r="BI57" s="1314" t="e">
        <f t="shared" si="46"/>
        <v>#N/A</v>
      </c>
      <c r="BJ57" s="1314" t="e">
        <f t="shared" si="47"/>
        <v>#N/A</v>
      </c>
      <c r="BK57" s="1314" t="e">
        <f t="shared" si="48"/>
        <v>#N/A</v>
      </c>
      <c r="BL57" s="1314" t="e">
        <f t="shared" si="49"/>
        <v>#N/A</v>
      </c>
      <c r="BM57" s="1314" t="e">
        <f t="shared" si="50"/>
        <v>#N/A</v>
      </c>
      <c r="BN57" s="1314" t="e">
        <f t="shared" si="51"/>
        <v>#N/A</v>
      </c>
      <c r="BO57" s="1314" t="e">
        <f t="shared" si="52"/>
        <v>#N/A</v>
      </c>
      <c r="BP57" s="1314" t="e">
        <f t="shared" si="53"/>
        <v>#N/A</v>
      </c>
      <c r="BQ57" s="1314" t="e">
        <f t="shared" si="54"/>
        <v>#N/A</v>
      </c>
      <c r="BR57" s="1314" t="e">
        <f t="shared" si="55"/>
        <v>#N/A</v>
      </c>
      <c r="BS57" s="1314" t="e">
        <f t="shared" si="56"/>
        <v>#N/A</v>
      </c>
      <c r="BT57" s="1314" t="e">
        <f t="shared" si="57"/>
        <v>#N/A</v>
      </c>
      <c r="BU57" s="1314" t="e">
        <f t="shared" si="58"/>
        <v>#N/A</v>
      </c>
      <c r="BV57" s="1314" t="e">
        <f t="shared" si="59"/>
        <v>#N/A</v>
      </c>
      <c r="BW57" s="1314" t="e">
        <f t="shared" si="60"/>
        <v>#N/A</v>
      </c>
      <c r="BX57" s="1314" t="e">
        <f t="shared" si="61"/>
        <v>#N/A</v>
      </c>
      <c r="BY57" s="1314" t="e">
        <f t="shared" si="62"/>
        <v>#N/A</v>
      </c>
      <c r="BZ57" s="1315"/>
      <c r="CA57" s="1315"/>
      <c r="CB57" s="1315"/>
      <c r="CC57" s="1315"/>
      <c r="CD57" s="1315"/>
      <c r="CE57" s="1315"/>
      <c r="CF57" s="1315"/>
      <c r="CG57" s="1315"/>
      <c r="CH57" s="1315"/>
      <c r="CI57" s="1315"/>
      <c r="CJ57" s="1315"/>
      <c r="CK57" s="1315"/>
      <c r="CL57" s="1315"/>
      <c r="CM57" s="1315"/>
      <c r="CN57" s="1315"/>
      <c r="CO57" s="1315"/>
      <c r="CP57" s="1315"/>
      <c r="CQ57" s="1315"/>
      <c r="CR57" s="1315"/>
      <c r="CS57" s="1315"/>
      <c r="CT57" s="1315"/>
      <c r="CU57" s="1315"/>
      <c r="CV57" s="1315"/>
      <c r="CW57" s="1315"/>
      <c r="CX57" s="1315"/>
      <c r="CY57" s="1315"/>
      <c r="CZ57" s="1315"/>
      <c r="DA57" s="1315"/>
      <c r="DB57" s="1315"/>
      <c r="DC57" s="1315"/>
      <c r="DD57" s="1315"/>
      <c r="DE57" s="1315"/>
      <c r="DF57" s="1315"/>
      <c r="DG57" s="1315"/>
      <c r="DH57" s="1315"/>
      <c r="DI57" s="1315"/>
      <c r="DJ57" s="1315"/>
      <c r="DK57" s="1315"/>
      <c r="DL57" s="1315"/>
      <c r="DM57" s="1315"/>
      <c r="DN57" s="1315"/>
      <c r="DO57" s="1315"/>
      <c r="DP57" s="1315"/>
      <c r="DQ57" s="1315"/>
      <c r="DR57" s="1315"/>
      <c r="DS57" s="1315"/>
      <c r="DT57" s="1315"/>
      <c r="DU57" s="1315"/>
      <c r="DV57" s="1315"/>
      <c r="DW57" s="1315"/>
      <c r="DX57" s="1315"/>
      <c r="DY57" s="1315"/>
      <c r="DZ57" s="1315"/>
      <c r="EA57" s="1315"/>
      <c r="EB57" s="1315"/>
      <c r="EC57" s="1315"/>
      <c r="ED57" s="1315"/>
      <c r="EE57" s="1315"/>
      <c r="EF57" s="1315"/>
      <c r="EG57" s="1315"/>
      <c r="EH57" s="1315"/>
      <c r="EI57" s="1315"/>
      <c r="EJ57" s="1315"/>
      <c r="EK57" s="1315"/>
      <c r="EL57" s="1315"/>
      <c r="EM57" s="1315"/>
      <c r="EN57" s="1315"/>
      <c r="EO57" s="1315"/>
      <c r="EP57" s="1315"/>
      <c r="EQ57" s="1315"/>
      <c r="ER57" s="1315"/>
      <c r="ES57" s="1315"/>
      <c r="ET57" s="1315"/>
      <c r="EU57" s="1315"/>
      <c r="EV57" s="1315"/>
      <c r="EW57" s="1315"/>
      <c r="EX57" s="1315"/>
      <c r="EY57" s="1315"/>
      <c r="EZ57" s="1315"/>
      <c r="FA57" s="1315"/>
      <c r="FB57" s="1315"/>
      <c r="FC57" s="1315"/>
      <c r="FD57" s="1315"/>
      <c r="FE57" s="1315"/>
      <c r="FF57" s="1315"/>
      <c r="FG57" s="1315"/>
      <c r="FH57" s="1315"/>
      <c r="FI57" s="1315"/>
      <c r="FJ57" s="1315"/>
      <c r="FK57" s="1315"/>
      <c r="FL57" s="1315"/>
      <c r="FM57" s="1315"/>
      <c r="FN57" s="1315"/>
      <c r="FO57" s="1315"/>
      <c r="FP57" s="1315"/>
      <c r="FQ57" s="1315"/>
      <c r="FR57" s="1315"/>
      <c r="FS57" s="1315"/>
      <c r="FT57" s="1315"/>
      <c r="FU57" s="1315"/>
      <c r="FV57" s="1315"/>
      <c r="FW57" s="1315"/>
      <c r="FX57" s="1315"/>
      <c r="FY57" s="1315"/>
      <c r="FZ57" s="1315"/>
      <c r="GA57" s="1315"/>
      <c r="GB57" s="1315"/>
      <c r="GC57" s="1315"/>
      <c r="GD57" s="1315"/>
      <c r="GE57" s="1315"/>
      <c r="GF57" s="1315"/>
      <c r="GG57" s="1315"/>
      <c r="GH57" s="1315"/>
      <c r="GI57" s="1315"/>
      <c r="GJ57" s="1315"/>
      <c r="GK57" s="1315"/>
      <c r="GL57" s="1315"/>
      <c r="GM57" s="1315"/>
      <c r="GN57" s="1315"/>
      <c r="GO57" s="1315"/>
      <c r="GP57" s="1315"/>
      <c r="GQ57" s="1315"/>
      <c r="GR57" s="1315"/>
      <c r="GS57" s="1315"/>
      <c r="GT57" s="1315"/>
      <c r="GU57" s="1315"/>
      <c r="GV57" s="1315"/>
      <c r="GW57" s="1315"/>
      <c r="GX57" s="1315"/>
      <c r="GY57" s="1315"/>
      <c r="GZ57" s="1315"/>
      <c r="HA57" s="1315"/>
      <c r="HB57" s="1315"/>
      <c r="HC57" s="1315"/>
      <c r="HD57" s="1315"/>
      <c r="HE57" s="1315"/>
      <c r="HF57" s="1315"/>
      <c r="HG57" s="1315"/>
      <c r="HH57" s="1315"/>
      <c r="HI57" s="1315"/>
      <c r="HJ57" s="1315"/>
      <c r="HK57" s="1315"/>
      <c r="HL57" s="1315"/>
      <c r="HM57" s="1315"/>
      <c r="HN57" s="1315"/>
      <c r="HO57" s="1315"/>
      <c r="HP57" s="1315"/>
      <c r="HQ57" s="1315"/>
      <c r="HR57" s="1315"/>
      <c r="HS57" s="1315"/>
      <c r="HT57" s="1315"/>
      <c r="HU57" s="1315"/>
      <c r="HV57" s="1315"/>
      <c r="HW57" s="1315"/>
      <c r="HX57" s="1315"/>
      <c r="HY57" s="1315"/>
      <c r="HZ57" s="1315"/>
      <c r="IA57" s="1315"/>
      <c r="IB57" s="1315"/>
      <c r="IC57" s="1315"/>
      <c r="ID57" s="1315"/>
      <c r="IE57" s="1315"/>
      <c r="IF57" s="1315"/>
      <c r="IG57" s="1315"/>
      <c r="IH57" s="1315"/>
      <c r="II57" s="1315"/>
      <c r="IJ57" s="1315"/>
    </row>
    <row r="58" spans="1:244" s="53" customFormat="1" ht="12" x14ac:dyDescent="0.2">
      <c r="A58" s="444">
        <f t="shared" si="65"/>
        <v>47</v>
      </c>
      <c r="B58" s="1312">
        <v>8982</v>
      </c>
      <c r="C58" s="1313">
        <v>40000</v>
      </c>
      <c r="D58" s="1313">
        <f>ROUNDUP(C58*(D$10+1),0)</f>
        <v>41600</v>
      </c>
      <c r="E58" s="1313">
        <f t="shared" si="101"/>
        <v>43389</v>
      </c>
      <c r="F58" s="1313">
        <f t="shared" si="101"/>
        <v>44691</v>
      </c>
      <c r="G58" s="1313">
        <f t="shared" si="101"/>
        <v>46345</v>
      </c>
      <c r="H58" s="1313">
        <f t="shared" si="101"/>
        <v>48199</v>
      </c>
      <c r="I58" s="1313">
        <f t="shared" si="101"/>
        <v>50127</v>
      </c>
      <c r="J58" s="1314">
        <f t="shared" si="101"/>
        <v>52133</v>
      </c>
      <c r="K58" s="1314" t="e">
        <f t="shared" si="101"/>
        <v>#N/A</v>
      </c>
      <c r="L58" s="1314" t="e">
        <f t="shared" si="101"/>
        <v>#N/A</v>
      </c>
      <c r="M58" s="1314" t="e">
        <f t="shared" si="101"/>
        <v>#N/A</v>
      </c>
      <c r="N58" s="1314" t="e">
        <f t="shared" si="101"/>
        <v>#N/A</v>
      </c>
      <c r="O58" s="1314" t="e">
        <f t="shared" si="101"/>
        <v>#N/A</v>
      </c>
      <c r="P58" s="1314" t="e">
        <f t="shared" si="101"/>
        <v>#N/A</v>
      </c>
      <c r="Q58" s="1314" t="e">
        <f t="shared" si="101"/>
        <v>#N/A</v>
      </c>
      <c r="R58" s="1314" t="e">
        <f t="shared" si="101"/>
        <v>#N/A</v>
      </c>
      <c r="S58" s="1314" t="e">
        <f t="shared" si="101"/>
        <v>#N/A</v>
      </c>
      <c r="T58" s="1314" t="e">
        <f t="shared" si="101"/>
        <v>#N/A</v>
      </c>
      <c r="U58" s="1314" t="e">
        <f t="shared" si="101"/>
        <v>#N/A</v>
      </c>
      <c r="V58" s="1314" t="e">
        <f t="shared" si="101"/>
        <v>#N/A</v>
      </c>
      <c r="W58" s="1314" t="e">
        <f t="shared" si="101"/>
        <v>#N/A</v>
      </c>
      <c r="X58" s="1314" t="e">
        <f t="shared" si="101"/>
        <v>#N/A</v>
      </c>
      <c r="Y58" s="1314" t="e">
        <f t="shared" si="101"/>
        <v>#N/A</v>
      </c>
      <c r="Z58" s="1314" t="e">
        <f t="shared" si="11"/>
        <v>#N/A</v>
      </c>
      <c r="AA58" s="1314" t="e">
        <f t="shared" si="12"/>
        <v>#N/A</v>
      </c>
      <c r="AB58" s="1314" t="e">
        <f t="shared" si="13"/>
        <v>#N/A</v>
      </c>
      <c r="AC58" s="1314" t="e">
        <f t="shared" si="14"/>
        <v>#N/A</v>
      </c>
      <c r="AD58" s="1314" t="e">
        <f t="shared" si="15"/>
        <v>#N/A</v>
      </c>
      <c r="AE58" s="1314" t="e">
        <f t="shared" si="16"/>
        <v>#N/A</v>
      </c>
      <c r="AF58" s="1314" t="e">
        <f t="shared" si="17"/>
        <v>#N/A</v>
      </c>
      <c r="AG58" s="1314" t="e">
        <f t="shared" si="18"/>
        <v>#N/A</v>
      </c>
      <c r="AH58" s="1314" t="e">
        <f t="shared" si="19"/>
        <v>#N/A</v>
      </c>
      <c r="AI58" s="1314" t="e">
        <f t="shared" si="20"/>
        <v>#N/A</v>
      </c>
      <c r="AJ58" s="1314" t="e">
        <f t="shared" si="21"/>
        <v>#N/A</v>
      </c>
      <c r="AK58" s="1314" t="e">
        <f t="shared" si="22"/>
        <v>#N/A</v>
      </c>
      <c r="AL58" s="1314" t="e">
        <f t="shared" si="23"/>
        <v>#N/A</v>
      </c>
      <c r="AM58" s="1314" t="e">
        <f t="shared" si="24"/>
        <v>#N/A</v>
      </c>
      <c r="AN58" s="1314" t="e">
        <f t="shared" si="25"/>
        <v>#N/A</v>
      </c>
      <c r="AO58" s="1314" t="e">
        <f t="shared" si="26"/>
        <v>#N/A</v>
      </c>
      <c r="AP58" s="1314" t="e">
        <f t="shared" si="27"/>
        <v>#N/A</v>
      </c>
      <c r="AQ58" s="1314" t="e">
        <f t="shared" si="28"/>
        <v>#N/A</v>
      </c>
      <c r="AR58" s="1314" t="e">
        <f t="shared" si="29"/>
        <v>#N/A</v>
      </c>
      <c r="AS58" s="1314" t="e">
        <f t="shared" si="30"/>
        <v>#N/A</v>
      </c>
      <c r="AT58" s="1314" t="e">
        <f t="shared" si="31"/>
        <v>#N/A</v>
      </c>
      <c r="AU58" s="1314" t="e">
        <f t="shared" si="32"/>
        <v>#N/A</v>
      </c>
      <c r="AV58" s="1314" t="e">
        <f t="shared" si="33"/>
        <v>#N/A</v>
      </c>
      <c r="AW58" s="1314" t="e">
        <f t="shared" si="34"/>
        <v>#N/A</v>
      </c>
      <c r="AX58" s="1314" t="e">
        <f t="shared" si="35"/>
        <v>#N/A</v>
      </c>
      <c r="AY58" s="1314" t="e">
        <f t="shared" si="36"/>
        <v>#N/A</v>
      </c>
      <c r="AZ58" s="1314" t="e">
        <f t="shared" si="37"/>
        <v>#N/A</v>
      </c>
      <c r="BA58" s="1314" t="e">
        <f t="shared" si="38"/>
        <v>#N/A</v>
      </c>
      <c r="BB58" s="1314" t="e">
        <f t="shared" si="39"/>
        <v>#N/A</v>
      </c>
      <c r="BC58" s="1314" t="e">
        <f t="shared" si="40"/>
        <v>#N/A</v>
      </c>
      <c r="BD58" s="1314" t="e">
        <f t="shared" si="41"/>
        <v>#N/A</v>
      </c>
      <c r="BE58" s="1314" t="e">
        <f t="shared" si="42"/>
        <v>#N/A</v>
      </c>
      <c r="BF58" s="1314" t="e">
        <f t="shared" si="43"/>
        <v>#N/A</v>
      </c>
      <c r="BG58" s="1314" t="e">
        <f t="shared" si="44"/>
        <v>#N/A</v>
      </c>
      <c r="BH58" s="1314" t="e">
        <f t="shared" si="45"/>
        <v>#N/A</v>
      </c>
      <c r="BI58" s="1314" t="e">
        <f t="shared" si="46"/>
        <v>#N/A</v>
      </c>
      <c r="BJ58" s="1314" t="e">
        <f t="shared" si="47"/>
        <v>#N/A</v>
      </c>
      <c r="BK58" s="1314" t="e">
        <f t="shared" si="48"/>
        <v>#N/A</v>
      </c>
      <c r="BL58" s="1314" t="e">
        <f t="shared" si="49"/>
        <v>#N/A</v>
      </c>
      <c r="BM58" s="1314" t="e">
        <f t="shared" si="50"/>
        <v>#N/A</v>
      </c>
      <c r="BN58" s="1314" t="e">
        <f t="shared" si="51"/>
        <v>#N/A</v>
      </c>
      <c r="BO58" s="1314" t="e">
        <f t="shared" si="52"/>
        <v>#N/A</v>
      </c>
      <c r="BP58" s="1314" t="e">
        <f t="shared" si="53"/>
        <v>#N/A</v>
      </c>
      <c r="BQ58" s="1314" t="e">
        <f t="shared" si="54"/>
        <v>#N/A</v>
      </c>
      <c r="BR58" s="1314" t="e">
        <f t="shared" si="55"/>
        <v>#N/A</v>
      </c>
      <c r="BS58" s="1314" t="e">
        <f t="shared" si="56"/>
        <v>#N/A</v>
      </c>
      <c r="BT58" s="1314" t="e">
        <f t="shared" si="57"/>
        <v>#N/A</v>
      </c>
      <c r="BU58" s="1314" t="e">
        <f t="shared" si="58"/>
        <v>#N/A</v>
      </c>
      <c r="BV58" s="1314" t="e">
        <f t="shared" si="59"/>
        <v>#N/A</v>
      </c>
      <c r="BW58" s="1314" t="e">
        <f t="shared" si="60"/>
        <v>#N/A</v>
      </c>
      <c r="BX58" s="1314" t="e">
        <f t="shared" si="61"/>
        <v>#N/A</v>
      </c>
      <c r="BY58" s="1314" t="e">
        <f t="shared" si="62"/>
        <v>#N/A</v>
      </c>
      <c r="BZ58" s="1315"/>
      <c r="CA58" s="1315"/>
      <c r="CB58" s="1315"/>
      <c r="CC58" s="1315"/>
      <c r="CD58" s="1315"/>
      <c r="CE58" s="1315"/>
      <c r="CF58" s="1315"/>
      <c r="CG58" s="1315"/>
      <c r="CH58" s="1315"/>
      <c r="CI58" s="1315"/>
      <c r="CJ58" s="1315"/>
      <c r="CK58" s="1315"/>
      <c r="CL58" s="1315"/>
      <c r="CM58" s="1315"/>
      <c r="CN58" s="1315"/>
      <c r="CO58" s="1315"/>
      <c r="CP58" s="1315"/>
      <c r="CQ58" s="1315"/>
      <c r="CR58" s="1315"/>
      <c r="CS58" s="1315"/>
      <c r="CT58" s="1315"/>
      <c r="CU58" s="1315"/>
      <c r="CV58" s="1315"/>
      <c r="CW58" s="1315"/>
      <c r="CX58" s="1315"/>
      <c r="CY58" s="1315"/>
      <c r="CZ58" s="1315"/>
      <c r="DA58" s="1315"/>
      <c r="DB58" s="1315"/>
      <c r="DC58" s="1315"/>
      <c r="DD58" s="1315"/>
      <c r="DE58" s="1315"/>
      <c r="DF58" s="1315"/>
      <c r="DG58" s="1315"/>
      <c r="DH58" s="1315"/>
      <c r="DI58" s="1315"/>
      <c r="DJ58" s="1315"/>
      <c r="DK58" s="1315"/>
      <c r="DL58" s="1315"/>
      <c r="DM58" s="1315"/>
      <c r="DN58" s="1315"/>
      <c r="DO58" s="1315"/>
      <c r="DP58" s="1315"/>
      <c r="DQ58" s="1315"/>
      <c r="DR58" s="1315"/>
      <c r="DS58" s="1315"/>
      <c r="DT58" s="1315"/>
      <c r="DU58" s="1315"/>
      <c r="DV58" s="1315"/>
      <c r="DW58" s="1315"/>
      <c r="DX58" s="1315"/>
      <c r="DY58" s="1315"/>
      <c r="DZ58" s="1315"/>
      <c r="EA58" s="1315"/>
      <c r="EB58" s="1315"/>
      <c r="EC58" s="1315"/>
      <c r="ED58" s="1315"/>
      <c r="EE58" s="1315"/>
      <c r="EF58" s="1315"/>
      <c r="EG58" s="1315"/>
      <c r="EH58" s="1315"/>
      <c r="EI58" s="1315"/>
      <c r="EJ58" s="1315"/>
      <c r="EK58" s="1315"/>
      <c r="EL58" s="1315"/>
      <c r="EM58" s="1315"/>
      <c r="EN58" s="1315"/>
      <c r="EO58" s="1315"/>
      <c r="EP58" s="1315"/>
      <c r="EQ58" s="1315"/>
      <c r="ER58" s="1315"/>
      <c r="ES58" s="1315"/>
      <c r="ET58" s="1315"/>
      <c r="EU58" s="1315"/>
      <c r="EV58" s="1315"/>
      <c r="EW58" s="1315"/>
      <c r="EX58" s="1315"/>
      <c r="EY58" s="1315"/>
      <c r="EZ58" s="1315"/>
      <c r="FA58" s="1315"/>
      <c r="FB58" s="1315"/>
      <c r="FC58" s="1315"/>
      <c r="FD58" s="1315"/>
      <c r="FE58" s="1315"/>
      <c r="FF58" s="1315"/>
      <c r="FG58" s="1315"/>
      <c r="FH58" s="1315"/>
      <c r="FI58" s="1315"/>
      <c r="FJ58" s="1315"/>
      <c r="FK58" s="1315"/>
      <c r="FL58" s="1315"/>
      <c r="FM58" s="1315"/>
      <c r="FN58" s="1315"/>
      <c r="FO58" s="1315"/>
      <c r="FP58" s="1315"/>
      <c r="FQ58" s="1315"/>
      <c r="FR58" s="1315"/>
      <c r="FS58" s="1315"/>
      <c r="FT58" s="1315"/>
      <c r="FU58" s="1315"/>
      <c r="FV58" s="1315"/>
      <c r="FW58" s="1315"/>
      <c r="FX58" s="1315"/>
      <c r="FY58" s="1315"/>
      <c r="FZ58" s="1315"/>
      <c r="GA58" s="1315"/>
      <c r="GB58" s="1315"/>
      <c r="GC58" s="1315"/>
      <c r="GD58" s="1315"/>
      <c r="GE58" s="1315"/>
      <c r="GF58" s="1315"/>
      <c r="GG58" s="1315"/>
      <c r="GH58" s="1315"/>
      <c r="GI58" s="1315"/>
      <c r="GJ58" s="1315"/>
      <c r="GK58" s="1315"/>
      <c r="GL58" s="1315"/>
      <c r="GM58" s="1315"/>
      <c r="GN58" s="1315"/>
      <c r="GO58" s="1315"/>
      <c r="GP58" s="1315"/>
      <c r="GQ58" s="1315"/>
      <c r="GR58" s="1315"/>
      <c r="GS58" s="1315"/>
      <c r="GT58" s="1315"/>
      <c r="GU58" s="1315"/>
      <c r="GV58" s="1315"/>
      <c r="GW58" s="1315"/>
      <c r="GX58" s="1315"/>
      <c r="GY58" s="1315"/>
      <c r="GZ58" s="1315"/>
      <c r="HA58" s="1315"/>
      <c r="HB58" s="1315"/>
      <c r="HC58" s="1315"/>
      <c r="HD58" s="1315"/>
      <c r="HE58" s="1315"/>
      <c r="HF58" s="1315"/>
      <c r="HG58" s="1315"/>
      <c r="HH58" s="1315"/>
      <c r="HI58" s="1315"/>
      <c r="HJ58" s="1315"/>
      <c r="HK58" s="1315"/>
      <c r="HL58" s="1315"/>
      <c r="HM58" s="1315"/>
      <c r="HN58" s="1315"/>
      <c r="HO58" s="1315"/>
      <c r="HP58" s="1315"/>
      <c r="HQ58" s="1315"/>
      <c r="HR58" s="1315"/>
      <c r="HS58" s="1315"/>
      <c r="HT58" s="1315"/>
      <c r="HU58" s="1315"/>
      <c r="HV58" s="1315"/>
      <c r="HW58" s="1315"/>
      <c r="HX58" s="1315"/>
      <c r="HY58" s="1315"/>
      <c r="HZ58" s="1315"/>
      <c r="IA58" s="1315"/>
      <c r="IB58" s="1315"/>
      <c r="IC58" s="1315"/>
      <c r="ID58" s="1315"/>
      <c r="IE58" s="1315"/>
      <c r="IF58" s="1315"/>
      <c r="IG58" s="1315"/>
      <c r="IH58" s="1315"/>
      <c r="II58" s="1315"/>
      <c r="IJ58" s="1315"/>
    </row>
    <row r="59" spans="1:244" s="53" customFormat="1" ht="12" x14ac:dyDescent="0.2">
      <c r="A59" s="444">
        <f t="shared" si="65"/>
        <v>48</v>
      </c>
      <c r="B59" s="1312">
        <v>9380</v>
      </c>
      <c r="C59" s="1313">
        <v>42000</v>
      </c>
      <c r="D59" s="1313">
        <f>ROUNDUP(C59*(D$10+1),0)</f>
        <v>43680</v>
      </c>
      <c r="E59" s="1313">
        <f t="shared" si="101"/>
        <v>45559</v>
      </c>
      <c r="F59" s="1313">
        <f t="shared" si="101"/>
        <v>46926</v>
      </c>
      <c r="G59" s="1313">
        <f t="shared" si="101"/>
        <v>48663</v>
      </c>
      <c r="H59" s="1313">
        <f t="shared" si="101"/>
        <v>50610</v>
      </c>
      <c r="I59" s="1313">
        <f t="shared" si="101"/>
        <v>52635</v>
      </c>
      <c r="J59" s="1314">
        <f t="shared" si="101"/>
        <v>54741</v>
      </c>
      <c r="K59" s="1314" t="e">
        <f t="shared" si="101"/>
        <v>#N/A</v>
      </c>
      <c r="L59" s="1314" t="e">
        <f t="shared" si="101"/>
        <v>#N/A</v>
      </c>
      <c r="M59" s="1314" t="e">
        <f t="shared" si="101"/>
        <v>#N/A</v>
      </c>
      <c r="N59" s="1314" t="e">
        <f t="shared" si="101"/>
        <v>#N/A</v>
      </c>
      <c r="O59" s="1314" t="e">
        <f t="shared" si="101"/>
        <v>#N/A</v>
      </c>
      <c r="P59" s="1314" t="e">
        <f t="shared" si="101"/>
        <v>#N/A</v>
      </c>
      <c r="Q59" s="1314" t="e">
        <f t="shared" si="101"/>
        <v>#N/A</v>
      </c>
      <c r="R59" s="1314" t="e">
        <f t="shared" si="101"/>
        <v>#N/A</v>
      </c>
      <c r="S59" s="1314" t="e">
        <f t="shared" si="101"/>
        <v>#N/A</v>
      </c>
      <c r="T59" s="1314" t="e">
        <f t="shared" si="101"/>
        <v>#N/A</v>
      </c>
      <c r="U59" s="1314" t="e">
        <f t="shared" si="101"/>
        <v>#N/A</v>
      </c>
      <c r="V59" s="1314" t="e">
        <f t="shared" si="101"/>
        <v>#N/A</v>
      </c>
      <c r="W59" s="1314" t="e">
        <f t="shared" si="101"/>
        <v>#N/A</v>
      </c>
      <c r="X59" s="1314" t="e">
        <f t="shared" si="101"/>
        <v>#N/A</v>
      </c>
      <c r="Y59" s="1314" t="e">
        <f t="shared" si="101"/>
        <v>#N/A</v>
      </c>
      <c r="Z59" s="1314" t="e">
        <f t="shared" si="11"/>
        <v>#N/A</v>
      </c>
      <c r="AA59" s="1314" t="e">
        <f t="shared" si="12"/>
        <v>#N/A</v>
      </c>
      <c r="AB59" s="1314" t="e">
        <f t="shared" si="13"/>
        <v>#N/A</v>
      </c>
      <c r="AC59" s="1314" t="e">
        <f t="shared" si="14"/>
        <v>#N/A</v>
      </c>
      <c r="AD59" s="1314" t="e">
        <f t="shared" si="15"/>
        <v>#N/A</v>
      </c>
      <c r="AE59" s="1314" t="e">
        <f t="shared" si="16"/>
        <v>#N/A</v>
      </c>
      <c r="AF59" s="1314" t="e">
        <f t="shared" si="17"/>
        <v>#N/A</v>
      </c>
      <c r="AG59" s="1314" t="e">
        <f t="shared" si="18"/>
        <v>#N/A</v>
      </c>
      <c r="AH59" s="1314" t="e">
        <f t="shared" si="19"/>
        <v>#N/A</v>
      </c>
      <c r="AI59" s="1314" t="e">
        <f t="shared" si="20"/>
        <v>#N/A</v>
      </c>
      <c r="AJ59" s="1314" t="e">
        <f t="shared" si="21"/>
        <v>#N/A</v>
      </c>
      <c r="AK59" s="1314" t="e">
        <f t="shared" si="22"/>
        <v>#N/A</v>
      </c>
      <c r="AL59" s="1314" t="e">
        <f t="shared" si="23"/>
        <v>#N/A</v>
      </c>
      <c r="AM59" s="1314" t="e">
        <f t="shared" si="24"/>
        <v>#N/A</v>
      </c>
      <c r="AN59" s="1314" t="e">
        <f t="shared" si="25"/>
        <v>#N/A</v>
      </c>
      <c r="AO59" s="1314" t="e">
        <f t="shared" si="26"/>
        <v>#N/A</v>
      </c>
      <c r="AP59" s="1314" t="e">
        <f t="shared" si="27"/>
        <v>#N/A</v>
      </c>
      <c r="AQ59" s="1314" t="e">
        <f t="shared" si="28"/>
        <v>#N/A</v>
      </c>
      <c r="AR59" s="1314" t="e">
        <f t="shared" si="29"/>
        <v>#N/A</v>
      </c>
      <c r="AS59" s="1314" t="e">
        <f t="shared" si="30"/>
        <v>#N/A</v>
      </c>
      <c r="AT59" s="1314" t="e">
        <f t="shared" si="31"/>
        <v>#N/A</v>
      </c>
      <c r="AU59" s="1314" t="e">
        <f t="shared" si="32"/>
        <v>#N/A</v>
      </c>
      <c r="AV59" s="1314" t="e">
        <f t="shared" si="33"/>
        <v>#N/A</v>
      </c>
      <c r="AW59" s="1314" t="e">
        <f t="shared" si="34"/>
        <v>#N/A</v>
      </c>
      <c r="AX59" s="1314" t="e">
        <f t="shared" si="35"/>
        <v>#N/A</v>
      </c>
      <c r="AY59" s="1314" t="e">
        <f t="shared" si="36"/>
        <v>#N/A</v>
      </c>
      <c r="AZ59" s="1314" t="e">
        <f t="shared" si="37"/>
        <v>#N/A</v>
      </c>
      <c r="BA59" s="1314" t="e">
        <f t="shared" si="38"/>
        <v>#N/A</v>
      </c>
      <c r="BB59" s="1314" t="e">
        <f t="shared" si="39"/>
        <v>#N/A</v>
      </c>
      <c r="BC59" s="1314" t="e">
        <f t="shared" si="40"/>
        <v>#N/A</v>
      </c>
      <c r="BD59" s="1314" t="e">
        <f t="shared" si="41"/>
        <v>#N/A</v>
      </c>
      <c r="BE59" s="1314" t="e">
        <f t="shared" si="42"/>
        <v>#N/A</v>
      </c>
      <c r="BF59" s="1314" t="e">
        <f t="shared" si="43"/>
        <v>#N/A</v>
      </c>
      <c r="BG59" s="1314" t="e">
        <f t="shared" si="44"/>
        <v>#N/A</v>
      </c>
      <c r="BH59" s="1314" t="e">
        <f t="shared" si="45"/>
        <v>#N/A</v>
      </c>
      <c r="BI59" s="1314" t="e">
        <f t="shared" si="46"/>
        <v>#N/A</v>
      </c>
      <c r="BJ59" s="1314" t="e">
        <f t="shared" si="47"/>
        <v>#N/A</v>
      </c>
      <c r="BK59" s="1314" t="e">
        <f t="shared" si="48"/>
        <v>#N/A</v>
      </c>
      <c r="BL59" s="1314" t="e">
        <f t="shared" si="49"/>
        <v>#N/A</v>
      </c>
      <c r="BM59" s="1314" t="e">
        <f t="shared" si="50"/>
        <v>#N/A</v>
      </c>
      <c r="BN59" s="1314" t="e">
        <f t="shared" si="51"/>
        <v>#N/A</v>
      </c>
      <c r="BO59" s="1314" t="e">
        <f t="shared" si="52"/>
        <v>#N/A</v>
      </c>
      <c r="BP59" s="1314" t="e">
        <f t="shared" si="53"/>
        <v>#N/A</v>
      </c>
      <c r="BQ59" s="1314" t="e">
        <f t="shared" si="54"/>
        <v>#N/A</v>
      </c>
      <c r="BR59" s="1314" t="e">
        <f t="shared" si="55"/>
        <v>#N/A</v>
      </c>
      <c r="BS59" s="1314" t="e">
        <f t="shared" si="56"/>
        <v>#N/A</v>
      </c>
      <c r="BT59" s="1314" t="e">
        <f t="shared" si="57"/>
        <v>#N/A</v>
      </c>
      <c r="BU59" s="1314" t="e">
        <f t="shared" si="58"/>
        <v>#N/A</v>
      </c>
      <c r="BV59" s="1314" t="e">
        <f t="shared" si="59"/>
        <v>#N/A</v>
      </c>
      <c r="BW59" s="1314" t="e">
        <f t="shared" si="60"/>
        <v>#N/A</v>
      </c>
      <c r="BX59" s="1314" t="e">
        <f t="shared" si="61"/>
        <v>#N/A</v>
      </c>
      <c r="BY59" s="1314" t="e">
        <f t="shared" si="62"/>
        <v>#N/A</v>
      </c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  <c r="DY59" s="1315"/>
      <c r="DZ59" s="1315"/>
      <c r="EA59" s="1315"/>
      <c r="EB59" s="1315"/>
      <c r="EC59" s="1315"/>
      <c r="ED59" s="1315"/>
      <c r="EE59" s="1315"/>
      <c r="EF59" s="1315"/>
      <c r="EG59" s="1315"/>
      <c r="EH59" s="1315"/>
      <c r="EI59" s="1315"/>
      <c r="EJ59" s="1315"/>
      <c r="EK59" s="1315"/>
      <c r="EL59" s="1315"/>
      <c r="EM59" s="1315"/>
      <c r="EN59" s="1315"/>
      <c r="EO59" s="1315"/>
      <c r="EP59" s="1315"/>
      <c r="EQ59" s="1315"/>
      <c r="ER59" s="1315"/>
      <c r="ES59" s="1315"/>
      <c r="ET59" s="1315"/>
      <c r="EU59" s="1315"/>
      <c r="EV59" s="1315"/>
      <c r="EW59" s="1315"/>
      <c r="EX59" s="1315"/>
      <c r="EY59" s="1315"/>
      <c r="EZ59" s="1315"/>
      <c r="FA59" s="1315"/>
      <c r="FB59" s="1315"/>
      <c r="FC59" s="1315"/>
      <c r="FD59" s="1315"/>
      <c r="FE59" s="1315"/>
      <c r="FF59" s="1315"/>
      <c r="FG59" s="1315"/>
      <c r="FH59" s="1315"/>
      <c r="FI59" s="1315"/>
      <c r="FJ59" s="1315"/>
      <c r="FK59" s="1315"/>
      <c r="FL59" s="1315"/>
      <c r="FM59" s="1315"/>
      <c r="FN59" s="1315"/>
      <c r="FO59" s="1315"/>
      <c r="FP59" s="1315"/>
      <c r="FQ59" s="1315"/>
      <c r="FR59" s="1315"/>
      <c r="FS59" s="1315"/>
      <c r="FT59" s="1315"/>
      <c r="FU59" s="1315"/>
      <c r="FV59" s="1315"/>
      <c r="FW59" s="1315"/>
      <c r="FX59" s="1315"/>
      <c r="FY59" s="1315"/>
      <c r="FZ59" s="1315"/>
      <c r="GA59" s="1315"/>
      <c r="GB59" s="1315"/>
      <c r="GC59" s="1315"/>
      <c r="GD59" s="1315"/>
      <c r="GE59" s="1315"/>
      <c r="GF59" s="1315"/>
      <c r="GG59" s="1315"/>
      <c r="GH59" s="1315"/>
      <c r="GI59" s="1315"/>
      <c r="GJ59" s="1315"/>
      <c r="GK59" s="1315"/>
      <c r="GL59" s="1315"/>
      <c r="GM59" s="1315"/>
      <c r="GN59" s="1315"/>
      <c r="GO59" s="1315"/>
      <c r="GP59" s="1315"/>
      <c r="GQ59" s="1315"/>
      <c r="GR59" s="1315"/>
      <c r="GS59" s="1315"/>
      <c r="GT59" s="1315"/>
      <c r="GU59" s="1315"/>
      <c r="GV59" s="1315"/>
      <c r="GW59" s="1315"/>
      <c r="GX59" s="1315"/>
      <c r="GY59" s="1315"/>
      <c r="GZ59" s="1315"/>
      <c r="HA59" s="1315"/>
      <c r="HB59" s="1315"/>
      <c r="HC59" s="1315"/>
      <c r="HD59" s="1315"/>
      <c r="HE59" s="1315"/>
      <c r="HF59" s="1315"/>
      <c r="HG59" s="1315"/>
      <c r="HH59" s="1315"/>
      <c r="HI59" s="1315"/>
      <c r="HJ59" s="1315"/>
      <c r="HK59" s="1315"/>
      <c r="HL59" s="1315"/>
      <c r="HM59" s="1315"/>
      <c r="HN59" s="1315"/>
      <c r="HO59" s="1315"/>
      <c r="HP59" s="1315"/>
      <c r="HQ59" s="1315"/>
      <c r="HR59" s="1315"/>
      <c r="HS59" s="1315"/>
      <c r="HT59" s="1315"/>
      <c r="HU59" s="1315"/>
      <c r="HV59" s="1315"/>
      <c r="HW59" s="1315"/>
      <c r="HX59" s="1315"/>
      <c r="HY59" s="1315"/>
      <c r="HZ59" s="1315"/>
      <c r="IA59" s="1315"/>
      <c r="IB59" s="1315"/>
      <c r="IC59" s="1315"/>
      <c r="ID59" s="1315"/>
      <c r="IE59" s="1315"/>
      <c r="IF59" s="1315"/>
      <c r="IG59" s="1315"/>
      <c r="IH59" s="1315"/>
      <c r="II59" s="1315"/>
      <c r="IJ59" s="1315"/>
    </row>
    <row r="60" spans="1:244" s="53" customFormat="1" ht="12" x14ac:dyDescent="0.2">
      <c r="A60" s="444">
        <f t="shared" si="65"/>
        <v>49</v>
      </c>
      <c r="B60" s="1312">
        <v>9579</v>
      </c>
      <c r="C60" s="1313">
        <v>44000</v>
      </c>
      <c r="D60" s="1313">
        <f t="shared" si="9"/>
        <v>45760</v>
      </c>
      <c r="E60" s="1313">
        <f t="shared" ref="E60:Y60" si="102">ROUNDUP(D60*(E$10+1),0)</f>
        <v>47728</v>
      </c>
      <c r="F60" s="1313">
        <f t="shared" si="102"/>
        <v>49160</v>
      </c>
      <c r="G60" s="1313">
        <f t="shared" si="102"/>
        <v>50979</v>
      </c>
      <c r="H60" s="1313">
        <f t="shared" si="102"/>
        <v>53019</v>
      </c>
      <c r="I60" s="1313">
        <f t="shared" si="102"/>
        <v>55140</v>
      </c>
      <c r="J60" s="1314">
        <f t="shared" si="102"/>
        <v>57346</v>
      </c>
      <c r="K60" s="1314" t="e">
        <f t="shared" si="102"/>
        <v>#N/A</v>
      </c>
      <c r="L60" s="1314" t="e">
        <f t="shared" si="102"/>
        <v>#N/A</v>
      </c>
      <c r="M60" s="1314" t="e">
        <f t="shared" si="102"/>
        <v>#N/A</v>
      </c>
      <c r="N60" s="1314" t="e">
        <f t="shared" si="102"/>
        <v>#N/A</v>
      </c>
      <c r="O60" s="1314" t="e">
        <f t="shared" si="102"/>
        <v>#N/A</v>
      </c>
      <c r="P60" s="1314" t="e">
        <f t="shared" si="102"/>
        <v>#N/A</v>
      </c>
      <c r="Q60" s="1314" t="e">
        <f t="shared" si="102"/>
        <v>#N/A</v>
      </c>
      <c r="R60" s="1314" t="e">
        <f t="shared" si="102"/>
        <v>#N/A</v>
      </c>
      <c r="S60" s="1314" t="e">
        <f t="shared" si="102"/>
        <v>#N/A</v>
      </c>
      <c r="T60" s="1314" t="e">
        <f t="shared" si="102"/>
        <v>#N/A</v>
      </c>
      <c r="U60" s="1314" t="e">
        <f t="shared" si="102"/>
        <v>#N/A</v>
      </c>
      <c r="V60" s="1314" t="e">
        <f t="shared" si="102"/>
        <v>#N/A</v>
      </c>
      <c r="W60" s="1314" t="e">
        <f t="shared" si="102"/>
        <v>#N/A</v>
      </c>
      <c r="X60" s="1314" t="e">
        <f t="shared" si="102"/>
        <v>#N/A</v>
      </c>
      <c r="Y60" s="1314" t="e">
        <f t="shared" si="102"/>
        <v>#N/A</v>
      </c>
      <c r="Z60" s="1314" t="e">
        <f t="shared" si="11"/>
        <v>#N/A</v>
      </c>
      <c r="AA60" s="1314" t="e">
        <f t="shared" si="12"/>
        <v>#N/A</v>
      </c>
      <c r="AB60" s="1314" t="e">
        <f t="shared" si="13"/>
        <v>#N/A</v>
      </c>
      <c r="AC60" s="1314" t="e">
        <f t="shared" si="14"/>
        <v>#N/A</v>
      </c>
      <c r="AD60" s="1314" t="e">
        <f t="shared" si="15"/>
        <v>#N/A</v>
      </c>
      <c r="AE60" s="1314" t="e">
        <f t="shared" si="16"/>
        <v>#N/A</v>
      </c>
      <c r="AF60" s="1314" t="e">
        <f t="shared" si="17"/>
        <v>#N/A</v>
      </c>
      <c r="AG60" s="1314" t="e">
        <f t="shared" si="18"/>
        <v>#N/A</v>
      </c>
      <c r="AH60" s="1314" t="e">
        <f t="shared" si="19"/>
        <v>#N/A</v>
      </c>
      <c r="AI60" s="1314" t="e">
        <f t="shared" si="20"/>
        <v>#N/A</v>
      </c>
      <c r="AJ60" s="1314" t="e">
        <f t="shared" si="21"/>
        <v>#N/A</v>
      </c>
      <c r="AK60" s="1314" t="e">
        <f t="shared" si="22"/>
        <v>#N/A</v>
      </c>
      <c r="AL60" s="1314" t="e">
        <f t="shared" si="23"/>
        <v>#N/A</v>
      </c>
      <c r="AM60" s="1314" t="e">
        <f t="shared" si="24"/>
        <v>#N/A</v>
      </c>
      <c r="AN60" s="1314" t="e">
        <f t="shared" si="25"/>
        <v>#N/A</v>
      </c>
      <c r="AO60" s="1314" t="e">
        <f t="shared" si="26"/>
        <v>#N/A</v>
      </c>
      <c r="AP60" s="1314" t="e">
        <f t="shared" si="27"/>
        <v>#N/A</v>
      </c>
      <c r="AQ60" s="1314" t="e">
        <f t="shared" si="28"/>
        <v>#N/A</v>
      </c>
      <c r="AR60" s="1314" t="e">
        <f t="shared" si="29"/>
        <v>#N/A</v>
      </c>
      <c r="AS60" s="1314" t="e">
        <f t="shared" si="30"/>
        <v>#N/A</v>
      </c>
      <c r="AT60" s="1314" t="e">
        <f t="shared" si="31"/>
        <v>#N/A</v>
      </c>
      <c r="AU60" s="1314" t="e">
        <f t="shared" si="32"/>
        <v>#N/A</v>
      </c>
      <c r="AV60" s="1314" t="e">
        <f t="shared" si="33"/>
        <v>#N/A</v>
      </c>
      <c r="AW60" s="1314" t="e">
        <f t="shared" si="34"/>
        <v>#N/A</v>
      </c>
      <c r="AX60" s="1314" t="e">
        <f t="shared" si="35"/>
        <v>#N/A</v>
      </c>
      <c r="AY60" s="1314" t="e">
        <f t="shared" si="36"/>
        <v>#N/A</v>
      </c>
      <c r="AZ60" s="1314" t="e">
        <f t="shared" si="37"/>
        <v>#N/A</v>
      </c>
      <c r="BA60" s="1314" t="e">
        <f t="shared" si="38"/>
        <v>#N/A</v>
      </c>
      <c r="BB60" s="1314" t="e">
        <f t="shared" si="39"/>
        <v>#N/A</v>
      </c>
      <c r="BC60" s="1314" t="e">
        <f t="shared" si="40"/>
        <v>#N/A</v>
      </c>
      <c r="BD60" s="1314" t="e">
        <f t="shared" si="41"/>
        <v>#N/A</v>
      </c>
      <c r="BE60" s="1314" t="e">
        <f t="shared" si="42"/>
        <v>#N/A</v>
      </c>
      <c r="BF60" s="1314" t="e">
        <f t="shared" si="43"/>
        <v>#N/A</v>
      </c>
      <c r="BG60" s="1314" t="e">
        <f t="shared" si="44"/>
        <v>#N/A</v>
      </c>
      <c r="BH60" s="1314" t="e">
        <f t="shared" si="45"/>
        <v>#N/A</v>
      </c>
      <c r="BI60" s="1314" t="e">
        <f t="shared" si="46"/>
        <v>#N/A</v>
      </c>
      <c r="BJ60" s="1314" t="e">
        <f t="shared" si="47"/>
        <v>#N/A</v>
      </c>
      <c r="BK60" s="1314" t="e">
        <f t="shared" si="48"/>
        <v>#N/A</v>
      </c>
      <c r="BL60" s="1314" t="e">
        <f t="shared" si="49"/>
        <v>#N/A</v>
      </c>
      <c r="BM60" s="1314" t="e">
        <f t="shared" si="50"/>
        <v>#N/A</v>
      </c>
      <c r="BN60" s="1314" t="e">
        <f t="shared" si="51"/>
        <v>#N/A</v>
      </c>
      <c r="BO60" s="1314" t="e">
        <f t="shared" si="52"/>
        <v>#N/A</v>
      </c>
      <c r="BP60" s="1314" t="e">
        <f t="shared" si="53"/>
        <v>#N/A</v>
      </c>
      <c r="BQ60" s="1314" t="e">
        <f t="shared" si="54"/>
        <v>#N/A</v>
      </c>
      <c r="BR60" s="1314" t="e">
        <f t="shared" si="55"/>
        <v>#N/A</v>
      </c>
      <c r="BS60" s="1314" t="e">
        <f t="shared" si="56"/>
        <v>#N/A</v>
      </c>
      <c r="BT60" s="1314" t="e">
        <f t="shared" si="57"/>
        <v>#N/A</v>
      </c>
      <c r="BU60" s="1314" t="e">
        <f t="shared" si="58"/>
        <v>#N/A</v>
      </c>
      <c r="BV60" s="1314" t="e">
        <f t="shared" si="59"/>
        <v>#N/A</v>
      </c>
      <c r="BW60" s="1314" t="e">
        <f t="shared" si="60"/>
        <v>#N/A</v>
      </c>
      <c r="BX60" s="1314" t="e">
        <f t="shared" si="61"/>
        <v>#N/A</v>
      </c>
      <c r="BY60" s="1314" t="e">
        <f t="shared" si="62"/>
        <v>#N/A</v>
      </c>
      <c r="BZ60" s="1315"/>
      <c r="CA60" s="1315"/>
      <c r="CB60" s="1315"/>
      <c r="CC60" s="1315"/>
      <c r="CD60" s="1315"/>
      <c r="CE60" s="1315"/>
      <c r="CF60" s="1315"/>
      <c r="CG60" s="1315"/>
      <c r="CH60" s="1315"/>
      <c r="CI60" s="1315"/>
      <c r="CJ60" s="1315"/>
      <c r="CK60" s="1315"/>
      <c r="CL60" s="1315"/>
      <c r="CM60" s="1315"/>
      <c r="CN60" s="1315"/>
      <c r="CO60" s="1315"/>
      <c r="CP60" s="1315"/>
      <c r="CQ60" s="1315"/>
      <c r="CR60" s="1315"/>
      <c r="CS60" s="1315"/>
      <c r="CT60" s="1315"/>
      <c r="CU60" s="1315"/>
      <c r="CV60" s="1315"/>
      <c r="CW60" s="1315"/>
      <c r="CX60" s="1315"/>
      <c r="CY60" s="1315"/>
      <c r="CZ60" s="1315"/>
      <c r="DA60" s="1315"/>
      <c r="DB60" s="1315"/>
      <c r="DC60" s="1315"/>
      <c r="DD60" s="1315"/>
      <c r="DE60" s="1315"/>
      <c r="DF60" s="1315"/>
      <c r="DG60" s="1315"/>
      <c r="DH60" s="1315"/>
      <c r="DI60" s="1315"/>
      <c r="DJ60" s="1315"/>
      <c r="DK60" s="1315"/>
      <c r="DL60" s="1315"/>
      <c r="DM60" s="1315"/>
      <c r="DN60" s="1315"/>
      <c r="DO60" s="1315"/>
      <c r="DP60" s="1315"/>
      <c r="DQ60" s="1315"/>
      <c r="DR60" s="1315"/>
      <c r="DS60" s="1315"/>
      <c r="DT60" s="1315"/>
      <c r="DU60" s="1315"/>
      <c r="DV60" s="1315"/>
      <c r="DW60" s="1315"/>
      <c r="DX60" s="1315"/>
      <c r="DY60" s="1315"/>
      <c r="DZ60" s="1315"/>
      <c r="EA60" s="1315"/>
      <c r="EB60" s="1315"/>
      <c r="EC60" s="1315"/>
      <c r="ED60" s="1315"/>
      <c r="EE60" s="1315"/>
      <c r="EF60" s="1315"/>
      <c r="EG60" s="1315"/>
      <c r="EH60" s="1315"/>
      <c r="EI60" s="1315"/>
      <c r="EJ60" s="1315"/>
      <c r="EK60" s="1315"/>
      <c r="EL60" s="1315"/>
      <c r="EM60" s="1315"/>
      <c r="EN60" s="1315"/>
      <c r="EO60" s="1315"/>
      <c r="EP60" s="1315"/>
      <c r="EQ60" s="1315"/>
      <c r="ER60" s="1315"/>
      <c r="ES60" s="1315"/>
      <c r="ET60" s="1315"/>
      <c r="EU60" s="1315"/>
      <c r="EV60" s="1315"/>
      <c r="EW60" s="1315"/>
      <c r="EX60" s="1315"/>
      <c r="EY60" s="1315"/>
      <c r="EZ60" s="1315"/>
      <c r="FA60" s="1315"/>
      <c r="FB60" s="1315"/>
      <c r="FC60" s="1315"/>
      <c r="FD60" s="1315"/>
      <c r="FE60" s="1315"/>
      <c r="FF60" s="1315"/>
      <c r="FG60" s="1315"/>
      <c r="FH60" s="1315"/>
      <c r="FI60" s="1315"/>
      <c r="FJ60" s="1315"/>
      <c r="FK60" s="1315"/>
      <c r="FL60" s="1315"/>
      <c r="FM60" s="1315"/>
      <c r="FN60" s="1315"/>
      <c r="FO60" s="1315"/>
      <c r="FP60" s="1315"/>
      <c r="FQ60" s="1315"/>
      <c r="FR60" s="1315"/>
      <c r="FS60" s="1315"/>
      <c r="FT60" s="1315"/>
      <c r="FU60" s="1315"/>
      <c r="FV60" s="1315"/>
      <c r="FW60" s="1315"/>
      <c r="FX60" s="1315"/>
      <c r="FY60" s="1315"/>
      <c r="FZ60" s="1315"/>
      <c r="GA60" s="1315"/>
      <c r="GB60" s="1315"/>
      <c r="GC60" s="1315"/>
      <c r="GD60" s="1315"/>
      <c r="GE60" s="1315"/>
      <c r="GF60" s="1315"/>
      <c r="GG60" s="1315"/>
      <c r="GH60" s="1315"/>
      <c r="GI60" s="1315"/>
      <c r="GJ60" s="1315"/>
      <c r="GK60" s="1315"/>
      <c r="GL60" s="1315"/>
      <c r="GM60" s="1315"/>
      <c r="GN60" s="1315"/>
      <c r="GO60" s="1315"/>
      <c r="GP60" s="1315"/>
      <c r="GQ60" s="1315"/>
      <c r="GR60" s="1315"/>
      <c r="GS60" s="1315"/>
      <c r="GT60" s="1315"/>
      <c r="GU60" s="1315"/>
      <c r="GV60" s="1315"/>
      <c r="GW60" s="1315"/>
      <c r="GX60" s="1315"/>
      <c r="GY60" s="1315"/>
      <c r="GZ60" s="1315"/>
      <c r="HA60" s="1315"/>
      <c r="HB60" s="1315"/>
      <c r="HC60" s="1315"/>
      <c r="HD60" s="1315"/>
      <c r="HE60" s="1315"/>
      <c r="HF60" s="1315"/>
      <c r="HG60" s="1315"/>
      <c r="HH60" s="1315"/>
      <c r="HI60" s="1315"/>
      <c r="HJ60" s="1315"/>
      <c r="HK60" s="1315"/>
      <c r="HL60" s="1315"/>
      <c r="HM60" s="1315"/>
      <c r="HN60" s="1315"/>
      <c r="HO60" s="1315"/>
      <c r="HP60" s="1315"/>
      <c r="HQ60" s="1315"/>
      <c r="HR60" s="1315"/>
      <c r="HS60" s="1315"/>
      <c r="HT60" s="1315"/>
      <c r="HU60" s="1315"/>
      <c r="HV60" s="1315"/>
      <c r="HW60" s="1315"/>
      <c r="HX60" s="1315"/>
      <c r="HY60" s="1315"/>
      <c r="HZ60" s="1315"/>
      <c r="IA60" s="1315"/>
      <c r="IB60" s="1315"/>
      <c r="IC60" s="1315"/>
      <c r="ID60" s="1315"/>
      <c r="IE60" s="1315"/>
      <c r="IF60" s="1315"/>
      <c r="IG60" s="1315"/>
      <c r="IH60" s="1315"/>
      <c r="II60" s="1315"/>
      <c r="IJ60" s="1315"/>
    </row>
    <row r="61" spans="1:244" s="54" customFormat="1" ht="12.75" thickBot="1" x14ac:dyDescent="0.25">
      <c r="A61" s="444">
        <f t="shared" si="65"/>
        <v>50</v>
      </c>
      <c r="B61" s="1324">
        <v>9779</v>
      </c>
      <c r="C61" s="1320">
        <v>45000</v>
      </c>
      <c r="D61" s="1320">
        <f t="shared" si="9"/>
        <v>46800</v>
      </c>
      <c r="E61" s="1320">
        <f t="shared" ref="E61:Y61" si="103">ROUNDUP(D61*(E$10+1),0)</f>
        <v>48813</v>
      </c>
      <c r="F61" s="1320">
        <f t="shared" si="103"/>
        <v>50278</v>
      </c>
      <c r="G61" s="1320">
        <f t="shared" si="103"/>
        <v>52139</v>
      </c>
      <c r="H61" s="1320">
        <f t="shared" si="103"/>
        <v>54225</v>
      </c>
      <c r="I61" s="1320">
        <f t="shared" si="103"/>
        <v>56394</v>
      </c>
      <c r="J61" s="1321">
        <f t="shared" si="103"/>
        <v>58650</v>
      </c>
      <c r="K61" s="1321" t="e">
        <f t="shared" si="103"/>
        <v>#N/A</v>
      </c>
      <c r="L61" s="1321" t="e">
        <f t="shared" si="103"/>
        <v>#N/A</v>
      </c>
      <c r="M61" s="1321" t="e">
        <f t="shared" si="103"/>
        <v>#N/A</v>
      </c>
      <c r="N61" s="1321" t="e">
        <f t="shared" si="103"/>
        <v>#N/A</v>
      </c>
      <c r="O61" s="1321" t="e">
        <f t="shared" si="103"/>
        <v>#N/A</v>
      </c>
      <c r="P61" s="1321" t="e">
        <f t="shared" si="103"/>
        <v>#N/A</v>
      </c>
      <c r="Q61" s="1321" t="e">
        <f t="shared" si="103"/>
        <v>#N/A</v>
      </c>
      <c r="R61" s="1321" t="e">
        <f t="shared" si="103"/>
        <v>#N/A</v>
      </c>
      <c r="S61" s="1321" t="e">
        <f t="shared" si="103"/>
        <v>#N/A</v>
      </c>
      <c r="T61" s="1321" t="e">
        <f t="shared" si="103"/>
        <v>#N/A</v>
      </c>
      <c r="U61" s="1321" t="e">
        <f t="shared" si="103"/>
        <v>#N/A</v>
      </c>
      <c r="V61" s="1321" t="e">
        <f t="shared" si="103"/>
        <v>#N/A</v>
      </c>
      <c r="W61" s="1321" t="e">
        <f t="shared" si="103"/>
        <v>#N/A</v>
      </c>
      <c r="X61" s="1321" t="e">
        <f t="shared" si="103"/>
        <v>#N/A</v>
      </c>
      <c r="Y61" s="1321" t="e">
        <f t="shared" si="103"/>
        <v>#N/A</v>
      </c>
      <c r="Z61" s="1321" t="e">
        <f t="shared" si="11"/>
        <v>#N/A</v>
      </c>
      <c r="AA61" s="1321" t="e">
        <f t="shared" si="12"/>
        <v>#N/A</v>
      </c>
      <c r="AB61" s="1321" t="e">
        <f t="shared" si="13"/>
        <v>#N/A</v>
      </c>
      <c r="AC61" s="1321" t="e">
        <f t="shared" si="14"/>
        <v>#N/A</v>
      </c>
      <c r="AD61" s="1321" t="e">
        <f t="shared" si="15"/>
        <v>#N/A</v>
      </c>
      <c r="AE61" s="1321" t="e">
        <f t="shared" si="16"/>
        <v>#N/A</v>
      </c>
      <c r="AF61" s="1321" t="e">
        <f t="shared" si="17"/>
        <v>#N/A</v>
      </c>
      <c r="AG61" s="1321" t="e">
        <f t="shared" si="18"/>
        <v>#N/A</v>
      </c>
      <c r="AH61" s="1321" t="e">
        <f t="shared" si="19"/>
        <v>#N/A</v>
      </c>
      <c r="AI61" s="1321" t="e">
        <f t="shared" si="20"/>
        <v>#N/A</v>
      </c>
      <c r="AJ61" s="1321" t="e">
        <f t="shared" si="21"/>
        <v>#N/A</v>
      </c>
      <c r="AK61" s="1321" t="e">
        <f t="shared" si="22"/>
        <v>#N/A</v>
      </c>
      <c r="AL61" s="1321" t="e">
        <f t="shared" si="23"/>
        <v>#N/A</v>
      </c>
      <c r="AM61" s="1321" t="e">
        <f t="shared" si="24"/>
        <v>#N/A</v>
      </c>
      <c r="AN61" s="1321" t="e">
        <f t="shared" si="25"/>
        <v>#N/A</v>
      </c>
      <c r="AO61" s="1321" t="e">
        <f t="shared" si="26"/>
        <v>#N/A</v>
      </c>
      <c r="AP61" s="1321" t="e">
        <f t="shared" si="27"/>
        <v>#N/A</v>
      </c>
      <c r="AQ61" s="1321" t="e">
        <f t="shared" si="28"/>
        <v>#N/A</v>
      </c>
      <c r="AR61" s="1321" t="e">
        <f t="shared" si="29"/>
        <v>#N/A</v>
      </c>
      <c r="AS61" s="1321" t="e">
        <f t="shared" si="30"/>
        <v>#N/A</v>
      </c>
      <c r="AT61" s="1321" t="e">
        <f t="shared" si="31"/>
        <v>#N/A</v>
      </c>
      <c r="AU61" s="1321" t="e">
        <f t="shared" si="32"/>
        <v>#N/A</v>
      </c>
      <c r="AV61" s="1321" t="e">
        <f t="shared" si="33"/>
        <v>#N/A</v>
      </c>
      <c r="AW61" s="1321" t="e">
        <f t="shared" si="34"/>
        <v>#N/A</v>
      </c>
      <c r="AX61" s="1321" t="e">
        <f t="shared" si="35"/>
        <v>#N/A</v>
      </c>
      <c r="AY61" s="1321" t="e">
        <f t="shared" si="36"/>
        <v>#N/A</v>
      </c>
      <c r="AZ61" s="1321" t="e">
        <f t="shared" si="37"/>
        <v>#N/A</v>
      </c>
      <c r="BA61" s="1321" t="e">
        <f t="shared" si="38"/>
        <v>#N/A</v>
      </c>
      <c r="BB61" s="1321" t="e">
        <f t="shared" si="39"/>
        <v>#N/A</v>
      </c>
      <c r="BC61" s="1321" t="e">
        <f t="shared" si="40"/>
        <v>#N/A</v>
      </c>
      <c r="BD61" s="1321" t="e">
        <f t="shared" si="41"/>
        <v>#N/A</v>
      </c>
      <c r="BE61" s="1321" t="e">
        <f t="shared" si="42"/>
        <v>#N/A</v>
      </c>
      <c r="BF61" s="1321" t="e">
        <f t="shared" si="43"/>
        <v>#N/A</v>
      </c>
      <c r="BG61" s="1321" t="e">
        <f t="shared" si="44"/>
        <v>#N/A</v>
      </c>
      <c r="BH61" s="1321" t="e">
        <f t="shared" si="45"/>
        <v>#N/A</v>
      </c>
      <c r="BI61" s="1321" t="e">
        <f t="shared" si="46"/>
        <v>#N/A</v>
      </c>
      <c r="BJ61" s="1321" t="e">
        <f t="shared" si="47"/>
        <v>#N/A</v>
      </c>
      <c r="BK61" s="1321" t="e">
        <f t="shared" si="48"/>
        <v>#N/A</v>
      </c>
      <c r="BL61" s="1321" t="e">
        <f t="shared" si="49"/>
        <v>#N/A</v>
      </c>
      <c r="BM61" s="1321" t="e">
        <f t="shared" si="50"/>
        <v>#N/A</v>
      </c>
      <c r="BN61" s="1321" t="e">
        <f t="shared" si="51"/>
        <v>#N/A</v>
      </c>
      <c r="BO61" s="1321" t="e">
        <f t="shared" si="52"/>
        <v>#N/A</v>
      </c>
      <c r="BP61" s="1321" t="e">
        <f t="shared" si="53"/>
        <v>#N/A</v>
      </c>
      <c r="BQ61" s="1321" t="e">
        <f t="shared" si="54"/>
        <v>#N/A</v>
      </c>
      <c r="BR61" s="1321" t="e">
        <f t="shared" si="55"/>
        <v>#N/A</v>
      </c>
      <c r="BS61" s="1321" t="e">
        <f t="shared" si="56"/>
        <v>#N/A</v>
      </c>
      <c r="BT61" s="1321" t="e">
        <f t="shared" si="57"/>
        <v>#N/A</v>
      </c>
      <c r="BU61" s="1321" t="e">
        <f t="shared" si="58"/>
        <v>#N/A</v>
      </c>
      <c r="BV61" s="1321" t="e">
        <f t="shared" si="59"/>
        <v>#N/A</v>
      </c>
      <c r="BW61" s="1321" t="e">
        <f t="shared" si="60"/>
        <v>#N/A</v>
      </c>
      <c r="BX61" s="1321" t="e">
        <f t="shared" si="61"/>
        <v>#N/A</v>
      </c>
      <c r="BY61" s="1321" t="e">
        <f t="shared" si="62"/>
        <v>#N/A</v>
      </c>
      <c r="BZ61" s="1322"/>
      <c r="CA61" s="1322"/>
      <c r="CB61" s="1322"/>
      <c r="CC61" s="1322"/>
      <c r="CD61" s="1322"/>
      <c r="CE61" s="1322"/>
      <c r="CF61" s="1322"/>
      <c r="CG61" s="1322"/>
      <c r="CH61" s="1322"/>
      <c r="CI61" s="1322"/>
      <c r="CJ61" s="1322"/>
      <c r="CK61" s="1322"/>
      <c r="CL61" s="1322"/>
      <c r="CM61" s="1322"/>
      <c r="CN61" s="1322"/>
      <c r="CO61" s="1322"/>
      <c r="CP61" s="1322"/>
      <c r="CQ61" s="1322"/>
      <c r="CR61" s="1322"/>
      <c r="CS61" s="1322"/>
      <c r="CT61" s="1322"/>
      <c r="CU61" s="1322"/>
      <c r="CV61" s="1322"/>
      <c r="CW61" s="1322"/>
      <c r="CX61" s="1322"/>
      <c r="CY61" s="1322"/>
      <c r="CZ61" s="1322"/>
      <c r="DA61" s="1322"/>
      <c r="DB61" s="1322"/>
      <c r="DC61" s="1322"/>
      <c r="DD61" s="1322"/>
      <c r="DE61" s="1322"/>
      <c r="DF61" s="1322"/>
      <c r="DG61" s="1322"/>
      <c r="DH61" s="1322"/>
      <c r="DI61" s="1322"/>
      <c r="DJ61" s="1322"/>
      <c r="DK61" s="1322"/>
      <c r="DL61" s="1322"/>
      <c r="DM61" s="1322"/>
      <c r="DN61" s="1322"/>
      <c r="DO61" s="1322"/>
      <c r="DP61" s="1322"/>
      <c r="DQ61" s="1322"/>
      <c r="DR61" s="1322"/>
      <c r="DS61" s="1322"/>
      <c r="DT61" s="1322"/>
      <c r="DU61" s="1322"/>
      <c r="DV61" s="1322"/>
      <c r="DW61" s="1322"/>
      <c r="DX61" s="1322"/>
      <c r="DY61" s="1322"/>
      <c r="DZ61" s="1322"/>
      <c r="EA61" s="1322"/>
      <c r="EB61" s="1322"/>
      <c r="EC61" s="1322"/>
      <c r="ED61" s="1322"/>
      <c r="EE61" s="1322"/>
      <c r="EF61" s="1322"/>
      <c r="EG61" s="1322"/>
      <c r="EH61" s="1322"/>
      <c r="EI61" s="1322"/>
      <c r="EJ61" s="1322"/>
      <c r="EK61" s="1322"/>
      <c r="EL61" s="1322"/>
      <c r="EM61" s="1322"/>
      <c r="EN61" s="1322"/>
      <c r="EO61" s="1322"/>
      <c r="EP61" s="1322"/>
      <c r="EQ61" s="1322"/>
      <c r="ER61" s="1322"/>
      <c r="ES61" s="1322"/>
      <c r="ET61" s="1322"/>
      <c r="EU61" s="1322"/>
      <c r="EV61" s="1322"/>
      <c r="EW61" s="1322"/>
      <c r="EX61" s="1322"/>
      <c r="EY61" s="1322"/>
      <c r="EZ61" s="1322"/>
      <c r="FA61" s="1322"/>
      <c r="FB61" s="1322"/>
      <c r="FC61" s="1322"/>
      <c r="FD61" s="1322"/>
      <c r="FE61" s="1322"/>
      <c r="FF61" s="1322"/>
      <c r="FG61" s="1322"/>
      <c r="FH61" s="1322"/>
      <c r="FI61" s="1322"/>
      <c r="FJ61" s="1322"/>
      <c r="FK61" s="1322"/>
      <c r="FL61" s="1322"/>
      <c r="FM61" s="1322"/>
      <c r="FN61" s="1322"/>
      <c r="FO61" s="1322"/>
      <c r="FP61" s="1322"/>
      <c r="FQ61" s="1322"/>
      <c r="FR61" s="1322"/>
      <c r="FS61" s="1322"/>
      <c r="FT61" s="1322"/>
      <c r="FU61" s="1322"/>
      <c r="FV61" s="1322"/>
      <c r="FW61" s="1322"/>
      <c r="FX61" s="1322"/>
      <c r="FY61" s="1322"/>
      <c r="FZ61" s="1322"/>
      <c r="GA61" s="1322"/>
      <c r="GB61" s="1322"/>
      <c r="GC61" s="1322"/>
      <c r="GD61" s="1322"/>
      <c r="GE61" s="1322"/>
      <c r="GF61" s="1322"/>
      <c r="GG61" s="1322"/>
      <c r="GH61" s="1322"/>
      <c r="GI61" s="1322"/>
      <c r="GJ61" s="1322"/>
      <c r="GK61" s="1322"/>
      <c r="GL61" s="1322"/>
      <c r="GM61" s="1322"/>
      <c r="GN61" s="1322"/>
      <c r="GO61" s="1322"/>
      <c r="GP61" s="1322"/>
      <c r="GQ61" s="1322"/>
      <c r="GR61" s="1322"/>
      <c r="GS61" s="1322"/>
      <c r="GT61" s="1322"/>
      <c r="GU61" s="1322"/>
      <c r="GV61" s="1322"/>
      <c r="GW61" s="1322"/>
      <c r="GX61" s="1322"/>
      <c r="GY61" s="1322"/>
      <c r="GZ61" s="1322"/>
      <c r="HA61" s="1322"/>
      <c r="HB61" s="1322"/>
      <c r="HC61" s="1322"/>
      <c r="HD61" s="1322"/>
      <c r="HE61" s="1322"/>
      <c r="HF61" s="1322"/>
      <c r="HG61" s="1322"/>
      <c r="HH61" s="1322"/>
      <c r="HI61" s="1322"/>
      <c r="HJ61" s="1322"/>
      <c r="HK61" s="1322"/>
      <c r="HL61" s="1322"/>
      <c r="HM61" s="1322"/>
      <c r="HN61" s="1322"/>
      <c r="HO61" s="1322"/>
      <c r="HP61" s="1322"/>
      <c r="HQ61" s="1322"/>
      <c r="HR61" s="1322"/>
      <c r="HS61" s="1322"/>
      <c r="HT61" s="1322"/>
      <c r="HU61" s="1322"/>
      <c r="HV61" s="1322"/>
      <c r="HW61" s="1322"/>
      <c r="HX61" s="1322"/>
      <c r="HY61" s="1322"/>
      <c r="HZ61" s="1322"/>
      <c r="IA61" s="1322"/>
      <c r="IB61" s="1322"/>
      <c r="IC61" s="1322"/>
      <c r="ID61" s="1322"/>
      <c r="IE61" s="1322"/>
      <c r="IF61" s="1322"/>
      <c r="IG61" s="1322"/>
      <c r="IH61" s="1322"/>
      <c r="II61" s="1322"/>
      <c r="IJ61" s="1322"/>
    </row>
    <row r="62" spans="1:244" s="40" customFormat="1" ht="12.75" thickTop="1" x14ac:dyDescent="0.2">
      <c r="A62" s="38" t="s">
        <v>41</v>
      </c>
      <c r="B62" s="66">
        <v>0</v>
      </c>
      <c r="C62" s="636">
        <v>1</v>
      </c>
      <c r="D62" s="636">
        <f>MATCH(D64,__ИндОДД,0)-ROW(СпрИнд!$E9)</f>
        <v>9</v>
      </c>
      <c r="E62" s="636">
        <f>MATCH(E64,__ИндОДД,0)-ROW(СпрИнд!$E9)</f>
        <v>10</v>
      </c>
      <c r="F62" s="636">
        <f>MATCH(F64,__ИндОДД,0)-ROW(СпрИнд!$E9)</f>
        <v>11</v>
      </c>
      <c r="G62" s="636">
        <f>MATCH(G64,__ИндОДД,0)-ROW(СпрИнд!$E9)</f>
        <v>12</v>
      </c>
      <c r="H62" s="636">
        <f>MATCH(H64,__ИндОДД,0)-ROW(СпрИнд!$E9)</f>
        <v>14</v>
      </c>
      <c r="I62" s="636">
        <f>MATCH(I64,__ИндОДД,0)-ROW(СпрИнд!$E9)</f>
        <v>15</v>
      </c>
      <c r="J62" s="39">
        <f>MATCH(J64,__ИндОДД,0)-ROW(СпрИнд!$E9)</f>
        <v>17</v>
      </c>
      <c r="K62" s="39" t="e">
        <f>MATCH(K64,__ИндОДД,0)-ROW(СпрИнд!$E9)</f>
        <v>#N/A</v>
      </c>
      <c r="L62" s="39" t="e">
        <f>MATCH(L64,__ИндОДД,0)-ROW(СпрИнд!$E9)</f>
        <v>#N/A</v>
      </c>
      <c r="M62" s="39" t="e">
        <f>MATCH(M64,__ИндОДД,0)-ROW(СпрИнд!$E9)</f>
        <v>#N/A</v>
      </c>
      <c r="N62" s="39" t="e">
        <f>MATCH(N64,__ИндОДД,0)-ROW(СпрИнд!$E9)</f>
        <v>#N/A</v>
      </c>
      <c r="O62" s="39" t="e">
        <f>MATCH(O64,__ИндОДД,0)-ROW(СпрИнд!$E9)</f>
        <v>#N/A</v>
      </c>
      <c r="P62" s="39" t="e">
        <f>MATCH(P64,__ИндОДД,0)-ROW(СпрИнд!$E9)</f>
        <v>#N/A</v>
      </c>
      <c r="Q62" s="39" t="e">
        <f>MATCH(Q64,__ИндОДД,0)-ROW(СпрИнд!$E9)</f>
        <v>#N/A</v>
      </c>
      <c r="R62" s="39" t="e">
        <f>MATCH(R64,__ИндОДД,0)-ROW(СпрИнд!$E9)</f>
        <v>#N/A</v>
      </c>
      <c r="S62" s="39" t="e">
        <f>MATCH(S64,__ИндОДД,0)-ROW(СпрИнд!$E9)</f>
        <v>#N/A</v>
      </c>
      <c r="T62" s="39" t="e">
        <f>MATCH(T64,__ИндОДД,0)-ROW(СпрИнд!$E9)</f>
        <v>#N/A</v>
      </c>
      <c r="U62" s="39" t="e">
        <f>MATCH(U64,__ИндОДД,0)-ROW(СпрИнд!$E9)</f>
        <v>#N/A</v>
      </c>
      <c r="V62" s="39" t="e">
        <f>MATCH(V64,__ИндОДД,0)-ROW(СпрИнд!$E9)</f>
        <v>#N/A</v>
      </c>
      <c r="W62" s="39" t="e">
        <f>MATCH(W64,__ИндОДД,0)-ROW(СпрИнд!$E9)</f>
        <v>#N/A</v>
      </c>
      <c r="X62" s="39" t="e">
        <f>MATCH(X64,__ИндОДД,0)-ROW(СпрИнд!$E9)</f>
        <v>#N/A</v>
      </c>
      <c r="Y62" s="39" t="e">
        <f>MATCH(Y64,__ИндОДД,0)-ROW(СпрИнд!$E9)</f>
        <v>#N/A</v>
      </c>
      <c r="Z62" s="39" t="e">
        <f>MATCH(Z64,__ИндОДД,0)-ROW(СпрИнд!$E9)</f>
        <v>#N/A</v>
      </c>
      <c r="AA62" s="39" t="e">
        <f>MATCH(AA64,__ИндОДД,0)-ROW(СпрИнд!$E9)</f>
        <v>#N/A</v>
      </c>
      <c r="AB62" s="39" t="e">
        <f>MATCH(AB64,__ИндОДД,0)-ROW(СпрИнд!$E9)</f>
        <v>#N/A</v>
      </c>
      <c r="AC62" s="39" t="e">
        <f>MATCH(AC64,__ИндОДД,0)-ROW(СпрИнд!$E9)</f>
        <v>#N/A</v>
      </c>
      <c r="AD62" s="39" t="e">
        <f>MATCH(AD64,__ИндОДД,0)-ROW(СпрИнд!$E9)</f>
        <v>#N/A</v>
      </c>
      <c r="AE62" s="39" t="e">
        <f>MATCH(AE64,__ИндОДД,0)-ROW(СпрИнд!$E9)</f>
        <v>#N/A</v>
      </c>
      <c r="AF62" s="39" t="e">
        <f>MATCH(AF64,__ИндОДД,0)-ROW(СпрИнд!$E9)</f>
        <v>#N/A</v>
      </c>
      <c r="AG62" s="39" t="e">
        <f>MATCH(AG64,__ИндОДД,0)-ROW(СпрИнд!$E9)</f>
        <v>#N/A</v>
      </c>
      <c r="AH62" s="39" t="e">
        <f>MATCH(AH64,__ИндОДД,0)-ROW(СпрИнд!$E9)</f>
        <v>#N/A</v>
      </c>
      <c r="AI62" s="39" t="e">
        <f>MATCH(AI64,__ИндОДД,0)-ROW(СпрИнд!$E9)</f>
        <v>#N/A</v>
      </c>
      <c r="AJ62" s="39" t="e">
        <f>MATCH(AJ64,__ИндОДД,0)-ROW(СпрИнд!$E9)</f>
        <v>#N/A</v>
      </c>
      <c r="AK62" s="39" t="e">
        <f>MATCH(AK64,__ИндОДД,0)-ROW(СпрИнд!$E9)</f>
        <v>#N/A</v>
      </c>
      <c r="AL62" s="39" t="e">
        <f>MATCH(AL64,__ИндОДД,0)-ROW(СпрИнд!$E9)</f>
        <v>#N/A</v>
      </c>
      <c r="AM62" s="39" t="e">
        <f>MATCH(AM64,__ИндОДД,0)-ROW(СпрИнд!$E9)</f>
        <v>#N/A</v>
      </c>
      <c r="AN62" s="39" t="e">
        <f>MATCH(AN64,__ИндОДД,0)-ROW(СпрИнд!$E9)</f>
        <v>#N/A</v>
      </c>
      <c r="AO62" s="39" t="e">
        <f>MATCH(AO64,__ИндОДД,0)-ROW(СпрИнд!$E9)</f>
        <v>#N/A</v>
      </c>
      <c r="AP62" s="39" t="e">
        <f>MATCH(AP64,__ИндОДД,0)-ROW(СпрИнд!$E9)</f>
        <v>#N/A</v>
      </c>
      <c r="AQ62" s="39" t="e">
        <f>MATCH(AQ64,__ИндОДД,0)-ROW(СпрИнд!$E9)</f>
        <v>#N/A</v>
      </c>
      <c r="AR62" s="39" t="e">
        <f>MATCH(AR64,__ИндОДД,0)-ROW(СпрИнд!$E9)</f>
        <v>#N/A</v>
      </c>
      <c r="AS62" s="39" t="e">
        <f>MATCH(AS64,__ИндОДД,0)-ROW(СпрИнд!$E9)</f>
        <v>#N/A</v>
      </c>
      <c r="AT62" s="39" t="e">
        <f>MATCH(AT64,__ИндОДД,0)-ROW(СпрИнд!$E9)</f>
        <v>#N/A</v>
      </c>
      <c r="AU62" s="39" t="e">
        <f>MATCH(AU64,__ИндОДД,0)-ROW(СпрИнд!$E9)</f>
        <v>#N/A</v>
      </c>
      <c r="AV62" s="39" t="e">
        <f>MATCH(AV64,__ИндОДД,0)-ROW(СпрИнд!$E9)</f>
        <v>#N/A</v>
      </c>
      <c r="AW62" s="39" t="e">
        <f>MATCH(AW64,__ИндОДД,0)-ROW(СпрИнд!$E9)</f>
        <v>#N/A</v>
      </c>
      <c r="AX62" s="39" t="e">
        <f>MATCH(AX64,__ИндОДД,0)-ROW(СпрИнд!$E9)</f>
        <v>#N/A</v>
      </c>
      <c r="AY62" s="39" t="e">
        <f>MATCH(AY64,__ИндОДД,0)-ROW(СпрИнд!$E9)</f>
        <v>#N/A</v>
      </c>
      <c r="AZ62" s="39" t="e">
        <f>MATCH(AZ64,__ИндОДД,0)-ROW(СпрИнд!$E9)</f>
        <v>#N/A</v>
      </c>
      <c r="BA62" s="39" t="e">
        <f>MATCH(BA64,__ИндОДД,0)-ROW(СпрИнд!$E9)</f>
        <v>#N/A</v>
      </c>
      <c r="BB62" s="39" t="e">
        <f>MATCH(BB64,__ИндОДД,0)-ROW(СпрИнд!$E9)</f>
        <v>#N/A</v>
      </c>
      <c r="BC62" s="39" t="e">
        <f>MATCH(BC64,__ИндОДД,0)-ROW(СпрИнд!$E9)</f>
        <v>#N/A</v>
      </c>
      <c r="BD62" s="39" t="e">
        <f>MATCH(BD64,__ИндОДД,0)-ROW(СпрИнд!$E9)</f>
        <v>#N/A</v>
      </c>
      <c r="BE62" s="39" t="e">
        <f>MATCH(BE64,__ИндОДД,0)-ROW(СпрИнд!$E9)</f>
        <v>#N/A</v>
      </c>
      <c r="BF62" s="39" t="e">
        <f>MATCH(BF64,__ИндОДД,0)-ROW(СпрИнд!$E9)</f>
        <v>#N/A</v>
      </c>
      <c r="BG62" s="39" t="e">
        <f>MATCH(BG64,__ИндОДД,0)-ROW(СпрИнд!$E9)</f>
        <v>#N/A</v>
      </c>
      <c r="BH62" s="39" t="e">
        <f>MATCH(BH64,__ИндОДД,0)-ROW(СпрИнд!$E9)</f>
        <v>#N/A</v>
      </c>
      <c r="BI62" s="39" t="e">
        <f>MATCH(BI64,__ИндОДД,0)-ROW(СпрИнд!$E9)</f>
        <v>#N/A</v>
      </c>
      <c r="BJ62" s="39" t="e">
        <f>MATCH(BJ64,__ИндОДД,0)-ROW(СпрИнд!$E9)</f>
        <v>#N/A</v>
      </c>
      <c r="BK62" s="39" t="e">
        <f>MATCH(BK64,__ИндОДД,0)-ROW(СпрИнд!$E9)</f>
        <v>#N/A</v>
      </c>
      <c r="BL62" s="39" t="e">
        <f>MATCH(BL64,__ИндОДД,0)-ROW(СпрИнд!$E9)</f>
        <v>#N/A</v>
      </c>
      <c r="BM62" s="39" t="e">
        <f>MATCH(BM64,__ИндОДД,0)-ROW(СпрИнд!$E9)</f>
        <v>#N/A</v>
      </c>
      <c r="BN62" s="39" t="e">
        <f>MATCH(BN64,__ИндОДД,0)-ROW(СпрИнд!$E9)</f>
        <v>#N/A</v>
      </c>
      <c r="BO62" s="39" t="e">
        <f>MATCH(BO64,__ИндОДД,0)-ROW(СпрИнд!$E9)</f>
        <v>#N/A</v>
      </c>
      <c r="BP62" s="39" t="e">
        <f>MATCH(BP64,__ИндОДД,0)-ROW(СпрИнд!$E9)</f>
        <v>#N/A</v>
      </c>
      <c r="BQ62" s="39" t="e">
        <f>MATCH(BQ64,__ИндОДД,0)-ROW(СпрИнд!$E9)</f>
        <v>#N/A</v>
      </c>
      <c r="BR62" s="39" t="e">
        <f>MATCH(BR64,__ИндОДД,0)-ROW(СпрИнд!$E9)</f>
        <v>#N/A</v>
      </c>
      <c r="BS62" s="39" t="e">
        <f>MATCH(BS64,__ИндОДД,0)-ROW(СпрИнд!$E9)</f>
        <v>#N/A</v>
      </c>
      <c r="BT62" s="39" t="e">
        <f>MATCH(BT64,__ИндОДД,0)-ROW(СпрИнд!$E9)</f>
        <v>#N/A</v>
      </c>
      <c r="BU62" s="39" t="e">
        <f>MATCH(BU64,__ИндОДД,0)-ROW(СпрИнд!$E9)</f>
        <v>#N/A</v>
      </c>
      <c r="BV62" s="39" t="e">
        <f>MATCH(BV64,__ИндОДД,0)-ROW(СпрИнд!$E9)</f>
        <v>#N/A</v>
      </c>
      <c r="BW62" s="39" t="e">
        <f>MATCH(BW64,__ИндОДД,0)-ROW(СпрИнд!$E9)</f>
        <v>#N/A</v>
      </c>
      <c r="BX62" s="39" t="e">
        <f>MATCH(BX64,__ИндОДД,0)-ROW(СпрИнд!$E9)</f>
        <v>#N/A</v>
      </c>
      <c r="BY62" s="39" t="e">
        <f>MATCH(BY64,__ИндОДД,0)-ROW(СпрИнд!$E9)</f>
        <v>#N/A</v>
      </c>
    </row>
    <row r="63" spans="1:244" s="43" customFormat="1" ht="12" x14ac:dyDescent="0.2">
      <c r="A63" s="41" t="s">
        <v>42</v>
      </c>
      <c r="B63" s="634" t="s">
        <v>26</v>
      </c>
      <c r="C63" s="637" t="s">
        <v>26</v>
      </c>
      <c r="D63" s="637" t="str">
        <f t="shared" ref="D63:Y63" ca="1" si="104">VLOOKUP(D62,__Периоды,6,0)</f>
        <v>Архив</v>
      </c>
      <c r="E63" s="637" t="str">
        <f t="shared" ca="1" si="104"/>
        <v>Архив</v>
      </c>
      <c r="F63" s="637" t="str">
        <f t="shared" ca="1" si="104"/>
        <v>Архив</v>
      </c>
      <c r="G63" s="637" t="str">
        <f t="shared" ca="1" si="104"/>
        <v>Архив</v>
      </c>
      <c r="H63" s="637" t="str">
        <f t="shared" ca="1" si="104"/>
        <v>Прогноз</v>
      </c>
      <c r="I63" s="637" t="str">
        <f t="shared" ca="1" si="104"/>
        <v>Прогноз</v>
      </c>
      <c r="J63" s="42" t="str">
        <f t="shared" ca="1" si="104"/>
        <v>Прогноз</v>
      </c>
      <c r="K63" s="42" t="e">
        <f t="shared" si="104"/>
        <v>#N/A</v>
      </c>
      <c r="L63" s="42" t="e">
        <f t="shared" si="104"/>
        <v>#N/A</v>
      </c>
      <c r="M63" s="42" t="e">
        <f t="shared" si="104"/>
        <v>#N/A</v>
      </c>
      <c r="N63" s="42" t="e">
        <f t="shared" si="104"/>
        <v>#N/A</v>
      </c>
      <c r="O63" s="42" t="e">
        <f t="shared" si="104"/>
        <v>#N/A</v>
      </c>
      <c r="P63" s="42" t="e">
        <f t="shared" si="104"/>
        <v>#N/A</v>
      </c>
      <c r="Q63" s="42" t="e">
        <f t="shared" si="104"/>
        <v>#N/A</v>
      </c>
      <c r="R63" s="42" t="e">
        <f t="shared" si="104"/>
        <v>#N/A</v>
      </c>
      <c r="S63" s="42" t="e">
        <f t="shared" si="104"/>
        <v>#N/A</v>
      </c>
      <c r="T63" s="42" t="e">
        <f t="shared" si="104"/>
        <v>#N/A</v>
      </c>
      <c r="U63" s="42" t="e">
        <f t="shared" si="104"/>
        <v>#N/A</v>
      </c>
      <c r="V63" s="42" t="e">
        <f t="shared" si="104"/>
        <v>#N/A</v>
      </c>
      <c r="W63" s="42" t="e">
        <f t="shared" si="104"/>
        <v>#N/A</v>
      </c>
      <c r="X63" s="42" t="e">
        <f t="shared" si="104"/>
        <v>#N/A</v>
      </c>
      <c r="Y63" s="42" t="e">
        <f t="shared" si="104"/>
        <v>#N/A</v>
      </c>
      <c r="Z63" s="42" t="e">
        <f t="shared" ref="Z63:BY63" si="105">VLOOKUP(Z62,__Периоды,6,0)</f>
        <v>#N/A</v>
      </c>
      <c r="AA63" s="42" t="e">
        <f t="shared" si="105"/>
        <v>#N/A</v>
      </c>
      <c r="AB63" s="42" t="e">
        <f t="shared" si="105"/>
        <v>#N/A</v>
      </c>
      <c r="AC63" s="42" t="e">
        <f t="shared" si="105"/>
        <v>#N/A</v>
      </c>
      <c r="AD63" s="42" t="e">
        <f t="shared" si="105"/>
        <v>#N/A</v>
      </c>
      <c r="AE63" s="42" t="e">
        <f t="shared" si="105"/>
        <v>#N/A</v>
      </c>
      <c r="AF63" s="42" t="e">
        <f t="shared" si="105"/>
        <v>#N/A</v>
      </c>
      <c r="AG63" s="42" t="e">
        <f t="shared" si="105"/>
        <v>#N/A</v>
      </c>
      <c r="AH63" s="42" t="e">
        <f t="shared" si="105"/>
        <v>#N/A</v>
      </c>
      <c r="AI63" s="42" t="e">
        <f t="shared" si="105"/>
        <v>#N/A</v>
      </c>
      <c r="AJ63" s="42" t="e">
        <f t="shared" si="105"/>
        <v>#N/A</v>
      </c>
      <c r="AK63" s="42" t="e">
        <f t="shared" si="105"/>
        <v>#N/A</v>
      </c>
      <c r="AL63" s="42" t="e">
        <f t="shared" si="105"/>
        <v>#N/A</v>
      </c>
      <c r="AM63" s="42" t="e">
        <f t="shared" si="105"/>
        <v>#N/A</v>
      </c>
      <c r="AN63" s="42" t="e">
        <f t="shared" si="105"/>
        <v>#N/A</v>
      </c>
      <c r="AO63" s="42" t="e">
        <f t="shared" si="105"/>
        <v>#N/A</v>
      </c>
      <c r="AP63" s="42" t="e">
        <f t="shared" si="105"/>
        <v>#N/A</v>
      </c>
      <c r="AQ63" s="42" t="e">
        <f t="shared" si="105"/>
        <v>#N/A</v>
      </c>
      <c r="AR63" s="42" t="e">
        <f t="shared" si="105"/>
        <v>#N/A</v>
      </c>
      <c r="AS63" s="42" t="e">
        <f t="shared" si="105"/>
        <v>#N/A</v>
      </c>
      <c r="AT63" s="42" t="e">
        <f t="shared" si="105"/>
        <v>#N/A</v>
      </c>
      <c r="AU63" s="42" t="e">
        <f t="shared" si="105"/>
        <v>#N/A</v>
      </c>
      <c r="AV63" s="42" t="e">
        <f t="shared" si="105"/>
        <v>#N/A</v>
      </c>
      <c r="AW63" s="42" t="e">
        <f t="shared" si="105"/>
        <v>#N/A</v>
      </c>
      <c r="AX63" s="42" t="e">
        <f t="shared" si="105"/>
        <v>#N/A</v>
      </c>
      <c r="AY63" s="42" t="e">
        <f t="shared" si="105"/>
        <v>#N/A</v>
      </c>
      <c r="AZ63" s="42" t="e">
        <f t="shared" si="105"/>
        <v>#N/A</v>
      </c>
      <c r="BA63" s="42" t="e">
        <f t="shared" si="105"/>
        <v>#N/A</v>
      </c>
      <c r="BB63" s="42" t="e">
        <f t="shared" si="105"/>
        <v>#N/A</v>
      </c>
      <c r="BC63" s="42" t="e">
        <f t="shared" si="105"/>
        <v>#N/A</v>
      </c>
      <c r="BD63" s="42" t="e">
        <f t="shared" si="105"/>
        <v>#N/A</v>
      </c>
      <c r="BE63" s="42" t="e">
        <f t="shared" si="105"/>
        <v>#N/A</v>
      </c>
      <c r="BF63" s="42" t="e">
        <f t="shared" si="105"/>
        <v>#N/A</v>
      </c>
      <c r="BG63" s="42" t="e">
        <f t="shared" si="105"/>
        <v>#N/A</v>
      </c>
      <c r="BH63" s="42" t="e">
        <f t="shared" si="105"/>
        <v>#N/A</v>
      </c>
      <c r="BI63" s="42" t="e">
        <f t="shared" si="105"/>
        <v>#N/A</v>
      </c>
      <c r="BJ63" s="42" t="e">
        <f t="shared" si="105"/>
        <v>#N/A</v>
      </c>
      <c r="BK63" s="42" t="e">
        <f t="shared" si="105"/>
        <v>#N/A</v>
      </c>
      <c r="BL63" s="42" t="e">
        <f t="shared" si="105"/>
        <v>#N/A</v>
      </c>
      <c r="BM63" s="42" t="e">
        <f t="shared" si="105"/>
        <v>#N/A</v>
      </c>
      <c r="BN63" s="42" t="e">
        <f t="shared" si="105"/>
        <v>#N/A</v>
      </c>
      <c r="BO63" s="42" t="e">
        <f t="shared" si="105"/>
        <v>#N/A</v>
      </c>
      <c r="BP63" s="42" t="e">
        <f t="shared" si="105"/>
        <v>#N/A</v>
      </c>
      <c r="BQ63" s="42" t="e">
        <f t="shared" si="105"/>
        <v>#N/A</v>
      </c>
      <c r="BR63" s="42" t="e">
        <f t="shared" si="105"/>
        <v>#N/A</v>
      </c>
      <c r="BS63" s="42" t="e">
        <f t="shared" si="105"/>
        <v>#N/A</v>
      </c>
      <c r="BT63" s="42" t="e">
        <f t="shared" si="105"/>
        <v>#N/A</v>
      </c>
      <c r="BU63" s="42" t="e">
        <f t="shared" si="105"/>
        <v>#N/A</v>
      </c>
      <c r="BV63" s="42" t="e">
        <f t="shared" si="105"/>
        <v>#N/A</v>
      </c>
      <c r="BW63" s="42" t="e">
        <f t="shared" si="105"/>
        <v>#N/A</v>
      </c>
      <c r="BX63" s="42" t="e">
        <f t="shared" si="105"/>
        <v>#N/A</v>
      </c>
      <c r="BY63" s="42" t="e">
        <f t="shared" si="105"/>
        <v>#N/A</v>
      </c>
    </row>
    <row r="64" spans="1:244" s="43" customFormat="1" ht="12" x14ac:dyDescent="0.2">
      <c r="A64" s="41" t="s">
        <v>72</v>
      </c>
      <c r="B64" s="64">
        <v>0</v>
      </c>
      <c r="C64" s="637">
        <v>1</v>
      </c>
      <c r="D64" s="637">
        <f>C64+1</f>
        <v>2</v>
      </c>
      <c r="E64" s="637">
        <f t="shared" ref="E64:Y64" si="106">D64+1</f>
        <v>3</v>
      </c>
      <c r="F64" s="637">
        <f t="shared" si="106"/>
        <v>4</v>
      </c>
      <c r="G64" s="637">
        <f t="shared" si="106"/>
        <v>5</v>
      </c>
      <c r="H64" s="637">
        <f t="shared" si="106"/>
        <v>6</v>
      </c>
      <c r="I64" s="637">
        <f t="shared" si="106"/>
        <v>7</v>
      </c>
      <c r="J64" s="42">
        <f t="shared" si="106"/>
        <v>8</v>
      </c>
      <c r="K64" s="42">
        <f t="shared" si="106"/>
        <v>9</v>
      </c>
      <c r="L64" s="42">
        <f t="shared" si="106"/>
        <v>10</v>
      </c>
      <c r="M64" s="42">
        <f t="shared" si="106"/>
        <v>11</v>
      </c>
      <c r="N64" s="42">
        <f t="shared" si="106"/>
        <v>12</v>
      </c>
      <c r="O64" s="42">
        <f t="shared" si="106"/>
        <v>13</v>
      </c>
      <c r="P64" s="42">
        <f t="shared" si="106"/>
        <v>14</v>
      </c>
      <c r="Q64" s="42">
        <f t="shared" si="106"/>
        <v>15</v>
      </c>
      <c r="R64" s="42">
        <f t="shared" si="106"/>
        <v>16</v>
      </c>
      <c r="S64" s="42">
        <f t="shared" si="106"/>
        <v>17</v>
      </c>
      <c r="T64" s="42">
        <f t="shared" si="106"/>
        <v>18</v>
      </c>
      <c r="U64" s="42">
        <f t="shared" si="106"/>
        <v>19</v>
      </c>
      <c r="V64" s="42">
        <f t="shared" si="106"/>
        <v>20</v>
      </c>
      <c r="W64" s="42">
        <f t="shared" si="106"/>
        <v>21</v>
      </c>
      <c r="X64" s="42">
        <f t="shared" si="106"/>
        <v>22</v>
      </c>
      <c r="Y64" s="42">
        <f t="shared" si="106"/>
        <v>23</v>
      </c>
      <c r="Z64" s="42">
        <f t="shared" ref="Z64:BE64" si="107">Y64+1</f>
        <v>24</v>
      </c>
      <c r="AA64" s="42">
        <f t="shared" si="107"/>
        <v>25</v>
      </c>
      <c r="AB64" s="42">
        <f t="shared" si="107"/>
        <v>26</v>
      </c>
      <c r="AC64" s="42">
        <f t="shared" si="107"/>
        <v>27</v>
      </c>
      <c r="AD64" s="42">
        <f t="shared" si="107"/>
        <v>28</v>
      </c>
      <c r="AE64" s="42">
        <f t="shared" si="107"/>
        <v>29</v>
      </c>
      <c r="AF64" s="42">
        <f t="shared" si="107"/>
        <v>30</v>
      </c>
      <c r="AG64" s="42">
        <f t="shared" si="107"/>
        <v>31</v>
      </c>
      <c r="AH64" s="42">
        <f t="shared" si="107"/>
        <v>32</v>
      </c>
      <c r="AI64" s="42">
        <f t="shared" si="107"/>
        <v>33</v>
      </c>
      <c r="AJ64" s="42">
        <f t="shared" si="107"/>
        <v>34</v>
      </c>
      <c r="AK64" s="42">
        <f t="shared" si="107"/>
        <v>35</v>
      </c>
      <c r="AL64" s="42">
        <f t="shared" si="107"/>
        <v>36</v>
      </c>
      <c r="AM64" s="42">
        <f t="shared" si="107"/>
        <v>37</v>
      </c>
      <c r="AN64" s="42">
        <f t="shared" si="107"/>
        <v>38</v>
      </c>
      <c r="AO64" s="42">
        <f t="shared" si="107"/>
        <v>39</v>
      </c>
      <c r="AP64" s="42">
        <f t="shared" si="107"/>
        <v>40</v>
      </c>
      <c r="AQ64" s="42">
        <f t="shared" si="107"/>
        <v>41</v>
      </c>
      <c r="AR64" s="42">
        <f t="shared" si="107"/>
        <v>42</v>
      </c>
      <c r="AS64" s="42">
        <f t="shared" si="107"/>
        <v>43</v>
      </c>
      <c r="AT64" s="42">
        <f t="shared" si="107"/>
        <v>44</v>
      </c>
      <c r="AU64" s="42">
        <f t="shared" si="107"/>
        <v>45</v>
      </c>
      <c r="AV64" s="42">
        <f t="shared" si="107"/>
        <v>46</v>
      </c>
      <c r="AW64" s="42">
        <f t="shared" si="107"/>
        <v>47</v>
      </c>
      <c r="AX64" s="42">
        <f t="shared" si="107"/>
        <v>48</v>
      </c>
      <c r="AY64" s="42">
        <f t="shared" si="107"/>
        <v>49</v>
      </c>
      <c r="AZ64" s="42">
        <f t="shared" si="107"/>
        <v>50</v>
      </c>
      <c r="BA64" s="42">
        <f t="shared" si="107"/>
        <v>51</v>
      </c>
      <c r="BB64" s="42">
        <f t="shared" si="107"/>
        <v>52</v>
      </c>
      <c r="BC64" s="42">
        <f t="shared" si="107"/>
        <v>53</v>
      </c>
      <c r="BD64" s="42">
        <f t="shared" si="107"/>
        <v>54</v>
      </c>
      <c r="BE64" s="42">
        <f t="shared" si="107"/>
        <v>55</v>
      </c>
      <c r="BF64" s="42">
        <f t="shared" ref="BF64:BY64" si="108">BE64+1</f>
        <v>56</v>
      </c>
      <c r="BG64" s="42">
        <f t="shared" si="108"/>
        <v>57</v>
      </c>
      <c r="BH64" s="42">
        <f t="shared" si="108"/>
        <v>58</v>
      </c>
      <c r="BI64" s="42">
        <f t="shared" si="108"/>
        <v>59</v>
      </c>
      <c r="BJ64" s="42">
        <f t="shared" si="108"/>
        <v>60</v>
      </c>
      <c r="BK64" s="42">
        <f t="shared" si="108"/>
        <v>61</v>
      </c>
      <c r="BL64" s="42">
        <f t="shared" si="108"/>
        <v>62</v>
      </c>
      <c r="BM64" s="42">
        <f t="shared" si="108"/>
        <v>63</v>
      </c>
      <c r="BN64" s="42">
        <f t="shared" si="108"/>
        <v>64</v>
      </c>
      <c r="BO64" s="42">
        <f t="shared" si="108"/>
        <v>65</v>
      </c>
      <c r="BP64" s="42">
        <f t="shared" si="108"/>
        <v>66</v>
      </c>
      <c r="BQ64" s="42">
        <f t="shared" si="108"/>
        <v>67</v>
      </c>
      <c r="BR64" s="42">
        <f t="shared" si="108"/>
        <v>68</v>
      </c>
      <c r="BS64" s="42">
        <f t="shared" si="108"/>
        <v>69</v>
      </c>
      <c r="BT64" s="42">
        <f t="shared" si="108"/>
        <v>70</v>
      </c>
      <c r="BU64" s="42">
        <f t="shared" si="108"/>
        <v>71</v>
      </c>
      <c r="BV64" s="42">
        <f t="shared" si="108"/>
        <v>72</v>
      </c>
      <c r="BW64" s="42">
        <f t="shared" si="108"/>
        <v>73</v>
      </c>
      <c r="BX64" s="42">
        <f t="shared" si="108"/>
        <v>74</v>
      </c>
      <c r="BY64" s="42">
        <f t="shared" si="108"/>
        <v>75</v>
      </c>
    </row>
    <row r="65" spans="1:308" s="46" customFormat="1" ht="12.75" thickBot="1" x14ac:dyDescent="0.25">
      <c r="A65" s="44" t="s">
        <v>73</v>
      </c>
      <c r="B65" s="65"/>
      <c r="C65" s="638"/>
      <c r="D65" s="437">
        <f t="shared" ref="D65:Y65" si="109">VLOOKUP(D62,__Периоды,4,0)</f>
        <v>0.04</v>
      </c>
      <c r="E65" s="437">
        <f t="shared" si="109"/>
        <v>4.2999999999999997E-2</v>
      </c>
      <c r="F65" s="437">
        <f t="shared" si="109"/>
        <v>0.03</v>
      </c>
      <c r="G65" s="437">
        <f t="shared" si="109"/>
        <v>3.6999999999999998E-2</v>
      </c>
      <c r="H65" s="437">
        <f t="shared" si="109"/>
        <v>0.04</v>
      </c>
      <c r="I65" s="437">
        <f t="shared" si="109"/>
        <v>0.04</v>
      </c>
      <c r="J65" s="45">
        <f t="shared" si="109"/>
        <v>0.04</v>
      </c>
      <c r="K65" s="45" t="e">
        <f t="shared" si="109"/>
        <v>#N/A</v>
      </c>
      <c r="L65" s="45" t="e">
        <f t="shared" si="109"/>
        <v>#N/A</v>
      </c>
      <c r="M65" s="45" t="e">
        <f t="shared" si="109"/>
        <v>#N/A</v>
      </c>
      <c r="N65" s="45" t="e">
        <f t="shared" si="109"/>
        <v>#N/A</v>
      </c>
      <c r="O65" s="45" t="e">
        <f t="shared" si="109"/>
        <v>#N/A</v>
      </c>
      <c r="P65" s="45" t="e">
        <f t="shared" si="109"/>
        <v>#N/A</v>
      </c>
      <c r="Q65" s="45" t="e">
        <f t="shared" si="109"/>
        <v>#N/A</v>
      </c>
      <c r="R65" s="45" t="e">
        <f t="shared" si="109"/>
        <v>#N/A</v>
      </c>
      <c r="S65" s="45" t="e">
        <f t="shared" si="109"/>
        <v>#N/A</v>
      </c>
      <c r="T65" s="45" t="e">
        <f t="shared" si="109"/>
        <v>#N/A</v>
      </c>
      <c r="U65" s="45" t="e">
        <f t="shared" si="109"/>
        <v>#N/A</v>
      </c>
      <c r="V65" s="45" t="e">
        <f t="shared" si="109"/>
        <v>#N/A</v>
      </c>
      <c r="W65" s="45" t="e">
        <f t="shared" si="109"/>
        <v>#N/A</v>
      </c>
      <c r="X65" s="45" t="e">
        <f t="shared" si="109"/>
        <v>#N/A</v>
      </c>
      <c r="Y65" s="45" t="e">
        <f t="shared" si="109"/>
        <v>#N/A</v>
      </c>
      <c r="Z65" s="45" t="e">
        <f t="shared" ref="Z65:BY65" si="110">VLOOKUP(Z62,__Периоды,4,0)</f>
        <v>#N/A</v>
      </c>
      <c r="AA65" s="45" t="e">
        <f t="shared" si="110"/>
        <v>#N/A</v>
      </c>
      <c r="AB65" s="45" t="e">
        <f t="shared" si="110"/>
        <v>#N/A</v>
      </c>
      <c r="AC65" s="45" t="e">
        <f t="shared" si="110"/>
        <v>#N/A</v>
      </c>
      <c r="AD65" s="45" t="e">
        <f t="shared" si="110"/>
        <v>#N/A</v>
      </c>
      <c r="AE65" s="45" t="e">
        <f t="shared" si="110"/>
        <v>#N/A</v>
      </c>
      <c r="AF65" s="45" t="e">
        <f t="shared" si="110"/>
        <v>#N/A</v>
      </c>
      <c r="AG65" s="45" t="e">
        <f t="shared" si="110"/>
        <v>#N/A</v>
      </c>
      <c r="AH65" s="45" t="e">
        <f t="shared" si="110"/>
        <v>#N/A</v>
      </c>
      <c r="AI65" s="45" t="e">
        <f t="shared" si="110"/>
        <v>#N/A</v>
      </c>
      <c r="AJ65" s="45" t="e">
        <f t="shared" si="110"/>
        <v>#N/A</v>
      </c>
      <c r="AK65" s="45" t="e">
        <f t="shared" si="110"/>
        <v>#N/A</v>
      </c>
      <c r="AL65" s="45" t="e">
        <f t="shared" si="110"/>
        <v>#N/A</v>
      </c>
      <c r="AM65" s="45" t="e">
        <f t="shared" si="110"/>
        <v>#N/A</v>
      </c>
      <c r="AN65" s="45" t="e">
        <f t="shared" si="110"/>
        <v>#N/A</v>
      </c>
      <c r="AO65" s="45" t="e">
        <f t="shared" si="110"/>
        <v>#N/A</v>
      </c>
      <c r="AP65" s="45" t="e">
        <f t="shared" si="110"/>
        <v>#N/A</v>
      </c>
      <c r="AQ65" s="45" t="e">
        <f t="shared" si="110"/>
        <v>#N/A</v>
      </c>
      <c r="AR65" s="45" t="e">
        <f t="shared" si="110"/>
        <v>#N/A</v>
      </c>
      <c r="AS65" s="45" t="e">
        <f t="shared" si="110"/>
        <v>#N/A</v>
      </c>
      <c r="AT65" s="45" t="e">
        <f t="shared" si="110"/>
        <v>#N/A</v>
      </c>
      <c r="AU65" s="45" t="e">
        <f t="shared" si="110"/>
        <v>#N/A</v>
      </c>
      <c r="AV65" s="45" t="e">
        <f t="shared" si="110"/>
        <v>#N/A</v>
      </c>
      <c r="AW65" s="45" t="e">
        <f t="shared" si="110"/>
        <v>#N/A</v>
      </c>
      <c r="AX65" s="45" t="e">
        <f t="shared" si="110"/>
        <v>#N/A</v>
      </c>
      <c r="AY65" s="45" t="e">
        <f t="shared" si="110"/>
        <v>#N/A</v>
      </c>
      <c r="AZ65" s="45" t="e">
        <f t="shared" si="110"/>
        <v>#N/A</v>
      </c>
      <c r="BA65" s="45" t="e">
        <f t="shared" si="110"/>
        <v>#N/A</v>
      </c>
      <c r="BB65" s="45" t="e">
        <f t="shared" si="110"/>
        <v>#N/A</v>
      </c>
      <c r="BC65" s="45" t="e">
        <f t="shared" si="110"/>
        <v>#N/A</v>
      </c>
      <c r="BD65" s="45" t="e">
        <f t="shared" si="110"/>
        <v>#N/A</v>
      </c>
      <c r="BE65" s="45" t="e">
        <f t="shared" si="110"/>
        <v>#N/A</v>
      </c>
      <c r="BF65" s="45" t="e">
        <f t="shared" si="110"/>
        <v>#N/A</v>
      </c>
      <c r="BG65" s="45" t="e">
        <f t="shared" si="110"/>
        <v>#N/A</v>
      </c>
      <c r="BH65" s="45" t="e">
        <f t="shared" si="110"/>
        <v>#N/A</v>
      </c>
      <c r="BI65" s="45" t="e">
        <f t="shared" si="110"/>
        <v>#N/A</v>
      </c>
      <c r="BJ65" s="45" t="e">
        <f t="shared" si="110"/>
        <v>#N/A</v>
      </c>
      <c r="BK65" s="45" t="e">
        <f t="shared" si="110"/>
        <v>#N/A</v>
      </c>
      <c r="BL65" s="45" t="e">
        <f t="shared" si="110"/>
        <v>#N/A</v>
      </c>
      <c r="BM65" s="45" t="e">
        <f t="shared" si="110"/>
        <v>#N/A</v>
      </c>
      <c r="BN65" s="45" t="e">
        <f t="shared" si="110"/>
        <v>#N/A</v>
      </c>
      <c r="BO65" s="45" t="e">
        <f t="shared" si="110"/>
        <v>#N/A</v>
      </c>
      <c r="BP65" s="45" t="e">
        <f t="shared" si="110"/>
        <v>#N/A</v>
      </c>
      <c r="BQ65" s="45" t="e">
        <f t="shared" si="110"/>
        <v>#N/A</v>
      </c>
      <c r="BR65" s="45" t="e">
        <f t="shared" si="110"/>
        <v>#N/A</v>
      </c>
      <c r="BS65" s="45" t="e">
        <f t="shared" si="110"/>
        <v>#N/A</v>
      </c>
      <c r="BT65" s="45" t="e">
        <f t="shared" si="110"/>
        <v>#N/A</v>
      </c>
      <c r="BU65" s="45" t="e">
        <f t="shared" si="110"/>
        <v>#N/A</v>
      </c>
      <c r="BV65" s="45" t="e">
        <f t="shared" si="110"/>
        <v>#N/A</v>
      </c>
      <c r="BW65" s="45" t="e">
        <f t="shared" si="110"/>
        <v>#N/A</v>
      </c>
      <c r="BX65" s="45" t="e">
        <f t="shared" si="110"/>
        <v>#N/A</v>
      </c>
      <c r="BY65" s="45" t="e">
        <f t="shared" si="110"/>
        <v>#N/A</v>
      </c>
    </row>
    <row r="66" spans="1:308" s="49" customFormat="1" ht="13.5" thickTop="1" thickBot="1" x14ac:dyDescent="0.25">
      <c r="A66" s="50" t="s">
        <v>14</v>
      </c>
      <c r="B66" s="67">
        <v>40908</v>
      </c>
      <c r="C66" s="639">
        <v>40909</v>
      </c>
      <c r="D66" s="639">
        <f t="shared" ref="D66:Y66" si="111">VLOOKUP(D62,__Периоды,2,0)</f>
        <v>43101</v>
      </c>
      <c r="E66" s="639">
        <f t="shared" si="111"/>
        <v>43739</v>
      </c>
      <c r="F66" s="639">
        <f t="shared" si="111"/>
        <v>44105</v>
      </c>
      <c r="G66" s="639">
        <f t="shared" si="111"/>
        <v>44470</v>
      </c>
      <c r="H66" s="639">
        <f t="shared" si="111"/>
        <v>44835</v>
      </c>
      <c r="I66" s="639">
        <f t="shared" si="111"/>
        <v>45200</v>
      </c>
      <c r="J66" s="48">
        <f t="shared" si="111"/>
        <v>45566</v>
      </c>
      <c r="K66" s="48" t="e">
        <f t="shared" si="111"/>
        <v>#N/A</v>
      </c>
      <c r="L66" s="48" t="e">
        <f t="shared" si="111"/>
        <v>#N/A</v>
      </c>
      <c r="M66" s="48" t="e">
        <f t="shared" si="111"/>
        <v>#N/A</v>
      </c>
      <c r="N66" s="48" t="e">
        <f t="shared" si="111"/>
        <v>#N/A</v>
      </c>
      <c r="O66" s="48" t="e">
        <f t="shared" si="111"/>
        <v>#N/A</v>
      </c>
      <c r="P66" s="48" t="e">
        <f t="shared" si="111"/>
        <v>#N/A</v>
      </c>
      <c r="Q66" s="48" t="e">
        <f t="shared" si="111"/>
        <v>#N/A</v>
      </c>
      <c r="R66" s="48" t="e">
        <f t="shared" si="111"/>
        <v>#N/A</v>
      </c>
      <c r="S66" s="48" t="e">
        <f t="shared" si="111"/>
        <v>#N/A</v>
      </c>
      <c r="T66" s="48" t="e">
        <f t="shared" si="111"/>
        <v>#N/A</v>
      </c>
      <c r="U66" s="48" t="e">
        <f t="shared" si="111"/>
        <v>#N/A</v>
      </c>
      <c r="V66" s="48" t="e">
        <f t="shared" si="111"/>
        <v>#N/A</v>
      </c>
      <c r="W66" s="48" t="e">
        <f t="shared" si="111"/>
        <v>#N/A</v>
      </c>
      <c r="X66" s="48" t="e">
        <f t="shared" si="111"/>
        <v>#N/A</v>
      </c>
      <c r="Y66" s="48" t="e">
        <f t="shared" si="111"/>
        <v>#N/A</v>
      </c>
      <c r="Z66" s="48" t="e">
        <f t="shared" ref="Z66:BY66" si="112">VLOOKUP(Z62,__Периоды,2,0)</f>
        <v>#N/A</v>
      </c>
      <c r="AA66" s="48" t="e">
        <f t="shared" si="112"/>
        <v>#N/A</v>
      </c>
      <c r="AB66" s="48" t="e">
        <f t="shared" si="112"/>
        <v>#N/A</v>
      </c>
      <c r="AC66" s="48" t="e">
        <f t="shared" si="112"/>
        <v>#N/A</v>
      </c>
      <c r="AD66" s="48" t="e">
        <f t="shared" si="112"/>
        <v>#N/A</v>
      </c>
      <c r="AE66" s="48" t="e">
        <f t="shared" si="112"/>
        <v>#N/A</v>
      </c>
      <c r="AF66" s="48" t="e">
        <f t="shared" si="112"/>
        <v>#N/A</v>
      </c>
      <c r="AG66" s="48" t="e">
        <f t="shared" si="112"/>
        <v>#N/A</v>
      </c>
      <c r="AH66" s="48" t="e">
        <f t="shared" si="112"/>
        <v>#N/A</v>
      </c>
      <c r="AI66" s="48" t="e">
        <f t="shared" si="112"/>
        <v>#N/A</v>
      </c>
      <c r="AJ66" s="48" t="e">
        <f t="shared" si="112"/>
        <v>#N/A</v>
      </c>
      <c r="AK66" s="48" t="e">
        <f t="shared" si="112"/>
        <v>#N/A</v>
      </c>
      <c r="AL66" s="48" t="e">
        <f t="shared" si="112"/>
        <v>#N/A</v>
      </c>
      <c r="AM66" s="48" t="e">
        <f t="shared" si="112"/>
        <v>#N/A</v>
      </c>
      <c r="AN66" s="48" t="e">
        <f t="shared" si="112"/>
        <v>#N/A</v>
      </c>
      <c r="AO66" s="48" t="e">
        <f t="shared" si="112"/>
        <v>#N/A</v>
      </c>
      <c r="AP66" s="48" t="e">
        <f t="shared" si="112"/>
        <v>#N/A</v>
      </c>
      <c r="AQ66" s="48" t="e">
        <f t="shared" si="112"/>
        <v>#N/A</v>
      </c>
      <c r="AR66" s="48" t="e">
        <f t="shared" si="112"/>
        <v>#N/A</v>
      </c>
      <c r="AS66" s="48" t="e">
        <f t="shared" si="112"/>
        <v>#N/A</v>
      </c>
      <c r="AT66" s="48" t="e">
        <f t="shared" si="112"/>
        <v>#N/A</v>
      </c>
      <c r="AU66" s="48" t="e">
        <f t="shared" si="112"/>
        <v>#N/A</v>
      </c>
      <c r="AV66" s="48" t="e">
        <f t="shared" si="112"/>
        <v>#N/A</v>
      </c>
      <c r="AW66" s="48" t="e">
        <f t="shared" si="112"/>
        <v>#N/A</v>
      </c>
      <c r="AX66" s="48" t="e">
        <f t="shared" si="112"/>
        <v>#N/A</v>
      </c>
      <c r="AY66" s="48" t="e">
        <f t="shared" si="112"/>
        <v>#N/A</v>
      </c>
      <c r="AZ66" s="48" t="e">
        <f t="shared" si="112"/>
        <v>#N/A</v>
      </c>
      <c r="BA66" s="48" t="e">
        <f t="shared" si="112"/>
        <v>#N/A</v>
      </c>
      <c r="BB66" s="48" t="e">
        <f t="shared" si="112"/>
        <v>#N/A</v>
      </c>
      <c r="BC66" s="48" t="e">
        <f t="shared" si="112"/>
        <v>#N/A</v>
      </c>
      <c r="BD66" s="48" t="e">
        <f t="shared" si="112"/>
        <v>#N/A</v>
      </c>
      <c r="BE66" s="48" t="e">
        <f t="shared" si="112"/>
        <v>#N/A</v>
      </c>
      <c r="BF66" s="48" t="e">
        <f t="shared" si="112"/>
        <v>#N/A</v>
      </c>
      <c r="BG66" s="48" t="e">
        <f t="shared" si="112"/>
        <v>#N/A</v>
      </c>
      <c r="BH66" s="48" t="e">
        <f t="shared" si="112"/>
        <v>#N/A</v>
      </c>
      <c r="BI66" s="48" t="e">
        <f t="shared" si="112"/>
        <v>#N/A</v>
      </c>
      <c r="BJ66" s="48" t="e">
        <f t="shared" si="112"/>
        <v>#N/A</v>
      </c>
      <c r="BK66" s="48" t="e">
        <f t="shared" si="112"/>
        <v>#N/A</v>
      </c>
      <c r="BL66" s="48" t="e">
        <f t="shared" si="112"/>
        <v>#N/A</v>
      </c>
      <c r="BM66" s="48" t="e">
        <f t="shared" si="112"/>
        <v>#N/A</v>
      </c>
      <c r="BN66" s="48" t="e">
        <f t="shared" si="112"/>
        <v>#N/A</v>
      </c>
      <c r="BO66" s="48" t="e">
        <f t="shared" si="112"/>
        <v>#N/A</v>
      </c>
      <c r="BP66" s="48" t="e">
        <f t="shared" si="112"/>
        <v>#N/A</v>
      </c>
      <c r="BQ66" s="48" t="e">
        <f t="shared" si="112"/>
        <v>#N/A</v>
      </c>
      <c r="BR66" s="48" t="e">
        <f t="shared" si="112"/>
        <v>#N/A</v>
      </c>
      <c r="BS66" s="48" t="e">
        <f t="shared" si="112"/>
        <v>#N/A</v>
      </c>
      <c r="BT66" s="48" t="e">
        <f t="shared" si="112"/>
        <v>#N/A</v>
      </c>
      <c r="BU66" s="48" t="e">
        <f t="shared" si="112"/>
        <v>#N/A</v>
      </c>
      <c r="BV66" s="48" t="e">
        <f t="shared" si="112"/>
        <v>#N/A</v>
      </c>
      <c r="BW66" s="48" t="e">
        <f t="shared" si="112"/>
        <v>#N/A</v>
      </c>
      <c r="BX66" s="48" t="e">
        <f t="shared" si="112"/>
        <v>#N/A</v>
      </c>
      <c r="BY66" s="48" t="e">
        <f t="shared" si="112"/>
        <v>#N/A</v>
      </c>
    </row>
    <row r="67" spans="1:308" s="55" customFormat="1" ht="12" x14ac:dyDescent="0.2">
      <c r="A67" s="439" t="s">
        <v>110</v>
      </c>
      <c r="B67" s="1308"/>
      <c r="C67" s="1309">
        <v>30000</v>
      </c>
      <c r="D67" s="1309">
        <f t="shared" ref="D67:D77" si="113">ROUNDUP(C67*(D$65+1),0)</f>
        <v>31200</v>
      </c>
      <c r="E67" s="1309">
        <f t="shared" ref="E67:Y72" si="114">ROUNDUP(D67*(E$65+1),0)</f>
        <v>32542</v>
      </c>
      <c r="F67" s="1309">
        <f t="shared" si="114"/>
        <v>33519</v>
      </c>
      <c r="G67" s="1309">
        <f t="shared" si="114"/>
        <v>34760</v>
      </c>
      <c r="H67" s="1309">
        <f t="shared" si="114"/>
        <v>36151</v>
      </c>
      <c r="I67" s="1309">
        <f t="shared" si="114"/>
        <v>37598</v>
      </c>
      <c r="J67" s="1310">
        <f t="shared" si="114"/>
        <v>39102</v>
      </c>
      <c r="K67" s="1310" t="e">
        <f t="shared" si="114"/>
        <v>#N/A</v>
      </c>
      <c r="L67" s="1310" t="e">
        <f t="shared" si="114"/>
        <v>#N/A</v>
      </c>
      <c r="M67" s="1310" t="e">
        <f t="shared" si="114"/>
        <v>#N/A</v>
      </c>
      <c r="N67" s="1310" t="e">
        <f t="shared" si="114"/>
        <v>#N/A</v>
      </c>
      <c r="O67" s="1310" t="e">
        <f t="shared" si="114"/>
        <v>#N/A</v>
      </c>
      <c r="P67" s="1310" t="e">
        <f t="shared" si="114"/>
        <v>#N/A</v>
      </c>
      <c r="Q67" s="1310" t="e">
        <f t="shared" si="114"/>
        <v>#N/A</v>
      </c>
      <c r="R67" s="1310" t="e">
        <f t="shared" si="114"/>
        <v>#N/A</v>
      </c>
      <c r="S67" s="1310" t="e">
        <f t="shared" si="114"/>
        <v>#N/A</v>
      </c>
      <c r="T67" s="1310" t="e">
        <f t="shared" si="114"/>
        <v>#N/A</v>
      </c>
      <c r="U67" s="1310" t="e">
        <f t="shared" si="114"/>
        <v>#N/A</v>
      </c>
      <c r="V67" s="1310" t="e">
        <f t="shared" si="114"/>
        <v>#N/A</v>
      </c>
      <c r="W67" s="1310" t="e">
        <f t="shared" si="114"/>
        <v>#N/A</v>
      </c>
      <c r="X67" s="1310" t="e">
        <f t="shared" si="114"/>
        <v>#N/A</v>
      </c>
      <c r="Y67" s="1310" t="e">
        <f t="shared" si="114"/>
        <v>#N/A</v>
      </c>
      <c r="Z67" s="1310" t="e">
        <f t="shared" ref="Z67:Z86" si="115">ROUNDUP(Y67*(Z$65+1),0)</f>
        <v>#N/A</v>
      </c>
      <c r="AA67" s="1310" t="e">
        <f t="shared" ref="AA67:AA86" si="116">ROUNDUP(Z67*(AA$65+1),0)</f>
        <v>#N/A</v>
      </c>
      <c r="AB67" s="1310" t="e">
        <f t="shared" ref="AB67:AB86" si="117">ROUNDUP(AA67*(AB$65+1),0)</f>
        <v>#N/A</v>
      </c>
      <c r="AC67" s="1310" t="e">
        <f t="shared" ref="AC67:AC86" si="118">ROUNDUP(AB67*(AC$65+1),0)</f>
        <v>#N/A</v>
      </c>
      <c r="AD67" s="1310" t="e">
        <f t="shared" ref="AD67:AD86" si="119">ROUNDUP(AC67*(AD$65+1),0)</f>
        <v>#N/A</v>
      </c>
      <c r="AE67" s="1310" t="e">
        <f t="shared" ref="AE67:AE86" si="120">ROUNDUP(AD67*(AE$65+1),0)</f>
        <v>#N/A</v>
      </c>
      <c r="AF67" s="1310" t="e">
        <f t="shared" ref="AF67:AF86" si="121">ROUNDUP(AE67*(AF$65+1),0)</f>
        <v>#N/A</v>
      </c>
      <c r="AG67" s="1310" t="e">
        <f t="shared" ref="AG67:AG86" si="122">ROUNDUP(AF67*(AG$65+1),0)</f>
        <v>#N/A</v>
      </c>
      <c r="AH67" s="1310" t="e">
        <f t="shared" ref="AH67:AH86" si="123">ROUNDUP(AG67*(AH$65+1),0)</f>
        <v>#N/A</v>
      </c>
      <c r="AI67" s="1310" t="e">
        <f t="shared" ref="AI67:AI86" si="124">ROUNDUP(AH67*(AI$65+1),0)</f>
        <v>#N/A</v>
      </c>
      <c r="AJ67" s="1310" t="e">
        <f t="shared" ref="AJ67:AJ86" si="125">ROUNDUP(AI67*(AJ$65+1),0)</f>
        <v>#N/A</v>
      </c>
      <c r="AK67" s="1310" t="e">
        <f t="shared" ref="AK67:AK86" si="126">ROUNDUP(AJ67*(AK$65+1),0)</f>
        <v>#N/A</v>
      </c>
      <c r="AL67" s="1310" t="e">
        <f t="shared" ref="AL67:AL86" si="127">ROUNDUP(AK67*(AL$65+1),0)</f>
        <v>#N/A</v>
      </c>
      <c r="AM67" s="1310" t="e">
        <f t="shared" ref="AM67:AM86" si="128">ROUNDUP(AL67*(AM$65+1),0)</f>
        <v>#N/A</v>
      </c>
      <c r="AN67" s="1310" t="e">
        <f t="shared" ref="AN67:AN86" si="129">ROUNDUP(AM67*(AN$65+1),0)</f>
        <v>#N/A</v>
      </c>
      <c r="AO67" s="1310" t="e">
        <f t="shared" ref="AO67:AO86" si="130">ROUNDUP(AN67*(AO$65+1),0)</f>
        <v>#N/A</v>
      </c>
      <c r="AP67" s="1310" t="e">
        <f t="shared" ref="AP67:AP86" si="131">ROUNDUP(AO67*(AP$65+1),0)</f>
        <v>#N/A</v>
      </c>
      <c r="AQ67" s="1310" t="e">
        <f t="shared" ref="AQ67:AQ86" si="132">ROUNDUP(AP67*(AQ$65+1),0)</f>
        <v>#N/A</v>
      </c>
      <c r="AR67" s="1310" t="e">
        <f t="shared" ref="AR67:AR86" si="133">ROUNDUP(AQ67*(AR$65+1),0)</f>
        <v>#N/A</v>
      </c>
      <c r="AS67" s="1310" t="e">
        <f t="shared" ref="AS67:AS86" si="134">ROUNDUP(AR67*(AS$65+1),0)</f>
        <v>#N/A</v>
      </c>
      <c r="AT67" s="1310" t="e">
        <f t="shared" ref="AT67:AT86" si="135">ROUNDUP(AS67*(AT$65+1),0)</f>
        <v>#N/A</v>
      </c>
      <c r="AU67" s="1310" t="e">
        <f t="shared" ref="AU67:AU86" si="136">ROUNDUP(AT67*(AU$65+1),0)</f>
        <v>#N/A</v>
      </c>
      <c r="AV67" s="1310" t="e">
        <f t="shared" ref="AV67:AV86" si="137">ROUNDUP(AU67*(AV$65+1),0)</f>
        <v>#N/A</v>
      </c>
      <c r="AW67" s="1310" t="e">
        <f t="shared" ref="AW67:AW86" si="138">ROUNDUP(AV67*(AW$65+1),0)</f>
        <v>#N/A</v>
      </c>
      <c r="AX67" s="1310" t="e">
        <f t="shared" ref="AX67:AX86" si="139">ROUNDUP(AW67*(AX$65+1),0)</f>
        <v>#N/A</v>
      </c>
      <c r="AY67" s="1310" t="e">
        <f t="shared" ref="AY67:AY86" si="140">ROUNDUP(AX67*(AY$65+1),0)</f>
        <v>#N/A</v>
      </c>
      <c r="AZ67" s="1310" t="e">
        <f t="shared" ref="AZ67:AZ86" si="141">ROUNDUP(AY67*(AZ$65+1),0)</f>
        <v>#N/A</v>
      </c>
      <c r="BA67" s="1310" t="e">
        <f t="shared" ref="BA67:BA86" si="142">ROUNDUP(AZ67*(BA$65+1),0)</f>
        <v>#N/A</v>
      </c>
      <c r="BB67" s="1310" t="e">
        <f t="shared" ref="BB67:BB86" si="143">ROUNDUP(BA67*(BB$65+1),0)</f>
        <v>#N/A</v>
      </c>
      <c r="BC67" s="1310" t="e">
        <f t="shared" ref="BC67:BC86" si="144">ROUNDUP(BB67*(BC$65+1),0)</f>
        <v>#N/A</v>
      </c>
      <c r="BD67" s="1310" t="e">
        <f t="shared" ref="BD67:BD86" si="145">ROUNDUP(BC67*(BD$65+1),0)</f>
        <v>#N/A</v>
      </c>
      <c r="BE67" s="1310" t="e">
        <f t="shared" ref="BE67:BE86" si="146">ROUNDUP(BD67*(BE$65+1),0)</f>
        <v>#N/A</v>
      </c>
      <c r="BF67" s="1310" t="e">
        <f t="shared" ref="BF67:BF86" si="147">ROUNDUP(BE67*(BF$65+1),0)</f>
        <v>#N/A</v>
      </c>
      <c r="BG67" s="1310" t="e">
        <f t="shared" ref="BG67:BG86" si="148">ROUNDUP(BF67*(BG$65+1),0)</f>
        <v>#N/A</v>
      </c>
      <c r="BH67" s="1310" t="e">
        <f t="shared" ref="BH67:BH86" si="149">ROUNDUP(BG67*(BH$65+1),0)</f>
        <v>#N/A</v>
      </c>
      <c r="BI67" s="1310" t="e">
        <f t="shared" ref="BI67:BI86" si="150">ROUNDUP(BH67*(BI$65+1),0)</f>
        <v>#N/A</v>
      </c>
      <c r="BJ67" s="1310" t="e">
        <f t="shared" ref="BJ67:BJ86" si="151">ROUNDUP(BI67*(BJ$65+1),0)</f>
        <v>#N/A</v>
      </c>
      <c r="BK67" s="1310" t="e">
        <f t="shared" ref="BK67:BK86" si="152">ROUNDUP(BJ67*(BK$65+1),0)</f>
        <v>#N/A</v>
      </c>
      <c r="BL67" s="1310" t="e">
        <f t="shared" ref="BL67:BL86" si="153">ROUNDUP(BK67*(BL$65+1),0)</f>
        <v>#N/A</v>
      </c>
      <c r="BM67" s="1310" t="e">
        <f t="shared" ref="BM67:BM86" si="154">ROUNDUP(BL67*(BM$65+1),0)</f>
        <v>#N/A</v>
      </c>
      <c r="BN67" s="1310" t="e">
        <f t="shared" ref="BN67:BN86" si="155">ROUNDUP(BM67*(BN$65+1),0)</f>
        <v>#N/A</v>
      </c>
      <c r="BO67" s="1310" t="e">
        <f t="shared" ref="BO67:BO86" si="156">ROUNDUP(BN67*(BO$65+1),0)</f>
        <v>#N/A</v>
      </c>
      <c r="BP67" s="1310" t="e">
        <f t="shared" ref="BP67:BP86" si="157">ROUNDUP(BO67*(BP$65+1),0)</f>
        <v>#N/A</v>
      </c>
      <c r="BQ67" s="1310" t="e">
        <f t="shared" ref="BQ67:BQ86" si="158">ROUNDUP(BP67*(BQ$65+1),0)</f>
        <v>#N/A</v>
      </c>
      <c r="BR67" s="1310" t="e">
        <f t="shared" ref="BR67:BR86" si="159">ROUNDUP(BQ67*(BR$65+1),0)</f>
        <v>#N/A</v>
      </c>
      <c r="BS67" s="1310" t="e">
        <f t="shared" ref="BS67:BS86" si="160">ROUNDUP(BR67*(BS$65+1),0)</f>
        <v>#N/A</v>
      </c>
      <c r="BT67" s="1310" t="e">
        <f t="shared" ref="BT67:BT86" si="161">ROUNDUP(BS67*(BT$65+1),0)</f>
        <v>#N/A</v>
      </c>
      <c r="BU67" s="1310" t="e">
        <f t="shared" ref="BU67:BU86" si="162">ROUNDUP(BT67*(BU$65+1),0)</f>
        <v>#N/A</v>
      </c>
      <c r="BV67" s="1310" t="e">
        <f t="shared" ref="BV67:BV86" si="163">ROUNDUP(BU67*(BV$65+1),0)</f>
        <v>#N/A</v>
      </c>
      <c r="BW67" s="1310" t="e">
        <f t="shared" ref="BW67:BW86" si="164">ROUNDUP(BV67*(BW$65+1),0)</f>
        <v>#N/A</v>
      </c>
      <c r="BX67" s="1310" t="e">
        <f t="shared" ref="BX67:BX86" si="165">ROUNDUP(BW67*(BX$65+1),0)</f>
        <v>#N/A</v>
      </c>
      <c r="BY67" s="1310" t="e">
        <f t="shared" ref="BY67:BY86" si="166">ROUNDUP(BX67*(BY$65+1),0)</f>
        <v>#N/A</v>
      </c>
      <c r="BZ67" s="1311"/>
      <c r="CA67" s="1311"/>
      <c r="CB67" s="1311"/>
      <c r="CC67" s="1311"/>
      <c r="CD67" s="1311"/>
      <c r="CE67" s="1311"/>
      <c r="CF67" s="1311"/>
      <c r="CG67" s="1311"/>
      <c r="CH67" s="1311"/>
      <c r="CI67" s="1311"/>
      <c r="CJ67" s="1311"/>
      <c r="CK67" s="1311"/>
      <c r="CL67" s="1311"/>
      <c r="CM67" s="1311"/>
      <c r="CN67" s="1311"/>
      <c r="CO67" s="1311"/>
      <c r="CP67" s="1311"/>
      <c r="CQ67" s="1311"/>
      <c r="CR67" s="1311"/>
      <c r="CS67" s="1311"/>
      <c r="CT67" s="1311"/>
      <c r="CU67" s="1311"/>
      <c r="CV67" s="1311"/>
      <c r="CW67" s="1311"/>
      <c r="CX67" s="1311"/>
      <c r="CY67" s="1311"/>
      <c r="CZ67" s="1311"/>
      <c r="DA67" s="1311"/>
      <c r="DB67" s="1311"/>
      <c r="DC67" s="1311"/>
      <c r="DD67" s="1311"/>
      <c r="DE67" s="1311"/>
      <c r="DF67" s="1311"/>
      <c r="DG67" s="1311"/>
      <c r="DH67" s="1311"/>
      <c r="DI67" s="1311"/>
      <c r="DJ67" s="1311"/>
      <c r="DK67" s="1311"/>
      <c r="DL67" s="1311"/>
      <c r="DM67" s="1311"/>
      <c r="DN67" s="1311"/>
      <c r="DO67" s="1311"/>
      <c r="DP67" s="1311"/>
      <c r="DQ67" s="1311"/>
      <c r="DR67" s="1311"/>
      <c r="DS67" s="1311"/>
      <c r="DT67" s="1311"/>
      <c r="DU67" s="1311"/>
      <c r="DV67" s="1311"/>
      <c r="DW67" s="1311"/>
      <c r="DX67" s="1311"/>
      <c r="DY67" s="1311"/>
      <c r="DZ67" s="1311"/>
      <c r="EA67" s="1311"/>
      <c r="EB67" s="1311"/>
      <c r="EC67" s="1311"/>
      <c r="ED67" s="1311"/>
      <c r="EE67" s="1311"/>
      <c r="EF67" s="1311"/>
      <c r="EG67" s="1311"/>
      <c r="EH67" s="1311"/>
      <c r="EI67" s="1311"/>
      <c r="EJ67" s="1311"/>
      <c r="EK67" s="1311"/>
      <c r="EL67" s="1311"/>
      <c r="EM67" s="1311"/>
      <c r="EN67" s="1311"/>
      <c r="EO67" s="1311"/>
      <c r="EP67" s="1311"/>
      <c r="EQ67" s="1311"/>
      <c r="ER67" s="1311"/>
      <c r="ES67" s="1311"/>
      <c r="ET67" s="1311"/>
      <c r="EU67" s="1311"/>
      <c r="EV67" s="1311"/>
      <c r="EW67" s="1311"/>
      <c r="EX67" s="1311"/>
      <c r="EY67" s="1311"/>
      <c r="EZ67" s="1311"/>
      <c r="FA67" s="1311"/>
      <c r="FB67" s="1311"/>
      <c r="FC67" s="1311"/>
      <c r="FD67" s="1311"/>
      <c r="FE67" s="1311"/>
      <c r="FF67" s="1311"/>
      <c r="FG67" s="1311"/>
      <c r="FH67" s="1311"/>
      <c r="FI67" s="1311"/>
      <c r="FJ67" s="1311"/>
      <c r="FK67" s="1311"/>
      <c r="FL67" s="1311"/>
      <c r="FM67" s="1311"/>
      <c r="FN67" s="1311"/>
      <c r="FO67" s="1311"/>
      <c r="FP67" s="1311"/>
      <c r="FQ67" s="1311"/>
      <c r="FR67" s="1311"/>
      <c r="FS67" s="1311"/>
      <c r="FT67" s="1311"/>
      <c r="FU67" s="1311"/>
      <c r="FV67" s="1311"/>
      <c r="FW67" s="1311"/>
      <c r="FX67" s="1311"/>
      <c r="FY67" s="1311"/>
      <c r="FZ67" s="1311"/>
      <c r="GA67" s="1311"/>
      <c r="GB67" s="1311"/>
      <c r="GC67" s="1311"/>
      <c r="GD67" s="1311"/>
      <c r="GE67" s="1311"/>
      <c r="GF67" s="1311"/>
      <c r="GG67" s="1311"/>
      <c r="GH67" s="1311"/>
      <c r="GI67" s="1311"/>
      <c r="GJ67" s="1311"/>
      <c r="GK67" s="1311"/>
      <c r="GL67" s="1311"/>
      <c r="GM67" s="1311"/>
      <c r="GN67" s="1311"/>
      <c r="GO67" s="1311"/>
      <c r="GP67" s="1311"/>
      <c r="GQ67" s="1311"/>
      <c r="GR67" s="1311"/>
      <c r="GS67" s="1311"/>
      <c r="GT67" s="1311"/>
      <c r="GU67" s="1311"/>
      <c r="GV67" s="1311"/>
      <c r="GW67" s="1311"/>
      <c r="GX67" s="1311"/>
      <c r="GY67" s="1311"/>
      <c r="GZ67" s="1311"/>
      <c r="HA67" s="1311"/>
      <c r="HB67" s="1311"/>
      <c r="HC67" s="1311"/>
      <c r="HD67" s="1311"/>
      <c r="HE67" s="1311"/>
      <c r="HF67" s="1311"/>
      <c r="HG67" s="1311"/>
      <c r="HH67" s="1311"/>
      <c r="HI67" s="1311"/>
      <c r="HJ67" s="1311"/>
      <c r="HK67" s="1311"/>
      <c r="HL67" s="1311"/>
      <c r="HM67" s="1311"/>
      <c r="HN67" s="1311"/>
      <c r="HO67" s="1311"/>
      <c r="HP67" s="1311"/>
      <c r="HQ67" s="1311"/>
      <c r="HR67" s="1311"/>
      <c r="HS67" s="1311"/>
      <c r="HT67" s="1311"/>
      <c r="HU67" s="1311"/>
      <c r="HV67" s="1311"/>
      <c r="HW67" s="1311"/>
      <c r="HX67" s="1311"/>
      <c r="HY67" s="1311"/>
      <c r="HZ67" s="1311"/>
      <c r="IA67" s="1311"/>
      <c r="IB67" s="1311"/>
      <c r="IC67" s="1311"/>
      <c r="ID67" s="1311"/>
      <c r="IE67" s="1311"/>
      <c r="IF67" s="1311"/>
      <c r="IG67" s="1311"/>
      <c r="IH67" s="1311"/>
      <c r="II67" s="1311"/>
      <c r="IJ67" s="1311"/>
      <c r="IK67" s="1311"/>
      <c r="IL67" s="1311"/>
      <c r="IM67" s="1311"/>
      <c r="IN67" s="1311"/>
      <c r="IO67" s="1311"/>
      <c r="IP67" s="1311"/>
      <c r="IQ67" s="1311"/>
      <c r="IR67" s="1311"/>
      <c r="IS67" s="1311"/>
      <c r="IT67" s="1311"/>
      <c r="IU67" s="1311"/>
      <c r="IV67" s="1311"/>
      <c r="IW67" s="1311"/>
      <c r="IX67" s="1311"/>
      <c r="IY67" s="1311"/>
      <c r="IZ67" s="1311"/>
      <c r="JA67" s="1311"/>
      <c r="JB67" s="1311"/>
      <c r="JC67" s="1311"/>
      <c r="JD67" s="1311"/>
      <c r="JE67" s="1311"/>
      <c r="JF67" s="1311"/>
      <c r="JG67" s="1311"/>
      <c r="JH67" s="1311"/>
      <c r="JI67" s="1311"/>
      <c r="JJ67" s="1311"/>
      <c r="JK67" s="1311"/>
      <c r="JL67" s="1311"/>
      <c r="JM67" s="1311"/>
      <c r="JN67" s="1311"/>
      <c r="JO67" s="1311"/>
      <c r="JP67" s="1311"/>
      <c r="JQ67" s="1311"/>
      <c r="JR67" s="1311"/>
      <c r="JS67" s="1311"/>
      <c r="JT67" s="1311"/>
      <c r="JU67" s="1311"/>
      <c r="JV67" s="1311"/>
      <c r="JW67" s="1311"/>
      <c r="JX67" s="1311"/>
      <c r="JY67" s="1311"/>
      <c r="JZ67" s="1311"/>
      <c r="KA67" s="1311"/>
      <c r="KB67" s="1311"/>
      <c r="KC67" s="1311"/>
      <c r="KD67" s="1311"/>
      <c r="KE67" s="1311"/>
      <c r="KF67" s="1311"/>
      <c r="KG67" s="1311"/>
      <c r="KH67" s="1311"/>
      <c r="KI67" s="1311"/>
      <c r="KJ67" s="1311"/>
      <c r="KK67" s="1311"/>
      <c r="KL67" s="1311"/>
      <c r="KM67" s="1311"/>
      <c r="KN67" s="1311"/>
      <c r="KO67" s="1311"/>
      <c r="KP67" s="1311"/>
      <c r="KQ67" s="1311"/>
      <c r="KR67" s="1311"/>
      <c r="KS67" s="1311"/>
      <c r="KT67" s="1311"/>
      <c r="KU67" s="1311"/>
      <c r="KV67" s="1311"/>
    </row>
    <row r="68" spans="1:308" s="51" customFormat="1" ht="12" x14ac:dyDescent="0.2">
      <c r="A68" s="440" t="s">
        <v>111</v>
      </c>
      <c r="B68" s="1312">
        <v>4165</v>
      </c>
      <c r="C68" s="1313">
        <v>27000</v>
      </c>
      <c r="D68" s="1313">
        <f>ROUNDUP(C68*(D$65+1),0)</f>
        <v>28080</v>
      </c>
      <c r="E68" s="1313">
        <f t="shared" si="114"/>
        <v>29288</v>
      </c>
      <c r="F68" s="1313">
        <f t="shared" si="114"/>
        <v>30167</v>
      </c>
      <c r="G68" s="1313">
        <f t="shared" si="114"/>
        <v>31284</v>
      </c>
      <c r="H68" s="1313">
        <f t="shared" si="114"/>
        <v>32536</v>
      </c>
      <c r="I68" s="1313">
        <f t="shared" si="114"/>
        <v>33838</v>
      </c>
      <c r="J68" s="1314">
        <f t="shared" si="114"/>
        <v>35192</v>
      </c>
      <c r="K68" s="1314" t="e">
        <f t="shared" si="114"/>
        <v>#N/A</v>
      </c>
      <c r="L68" s="1314" t="e">
        <f t="shared" si="114"/>
        <v>#N/A</v>
      </c>
      <c r="M68" s="1314" t="e">
        <f t="shared" si="114"/>
        <v>#N/A</v>
      </c>
      <c r="N68" s="1314" t="e">
        <f t="shared" si="114"/>
        <v>#N/A</v>
      </c>
      <c r="O68" s="1314" t="e">
        <f t="shared" si="114"/>
        <v>#N/A</v>
      </c>
      <c r="P68" s="1314" t="e">
        <f t="shared" si="114"/>
        <v>#N/A</v>
      </c>
      <c r="Q68" s="1314" t="e">
        <f t="shared" si="114"/>
        <v>#N/A</v>
      </c>
      <c r="R68" s="1314" t="e">
        <f t="shared" si="114"/>
        <v>#N/A</v>
      </c>
      <c r="S68" s="1314" t="e">
        <f t="shared" si="114"/>
        <v>#N/A</v>
      </c>
      <c r="T68" s="1314" t="e">
        <f t="shared" si="114"/>
        <v>#N/A</v>
      </c>
      <c r="U68" s="1314" t="e">
        <f t="shared" si="114"/>
        <v>#N/A</v>
      </c>
      <c r="V68" s="1314" t="e">
        <f t="shared" si="114"/>
        <v>#N/A</v>
      </c>
      <c r="W68" s="1314" t="e">
        <f t="shared" si="114"/>
        <v>#N/A</v>
      </c>
      <c r="X68" s="1314" t="e">
        <f t="shared" si="114"/>
        <v>#N/A</v>
      </c>
      <c r="Y68" s="1314" t="e">
        <f t="shared" si="114"/>
        <v>#N/A</v>
      </c>
      <c r="Z68" s="1314" t="e">
        <f t="shared" si="115"/>
        <v>#N/A</v>
      </c>
      <c r="AA68" s="1314" t="e">
        <f t="shared" si="116"/>
        <v>#N/A</v>
      </c>
      <c r="AB68" s="1314" t="e">
        <f t="shared" si="117"/>
        <v>#N/A</v>
      </c>
      <c r="AC68" s="1314" t="e">
        <f t="shared" si="118"/>
        <v>#N/A</v>
      </c>
      <c r="AD68" s="1314" t="e">
        <f t="shared" si="119"/>
        <v>#N/A</v>
      </c>
      <c r="AE68" s="1314" t="e">
        <f t="shared" si="120"/>
        <v>#N/A</v>
      </c>
      <c r="AF68" s="1314" t="e">
        <f t="shared" si="121"/>
        <v>#N/A</v>
      </c>
      <c r="AG68" s="1314" t="e">
        <f t="shared" si="122"/>
        <v>#N/A</v>
      </c>
      <c r="AH68" s="1314" t="e">
        <f t="shared" si="123"/>
        <v>#N/A</v>
      </c>
      <c r="AI68" s="1314" t="e">
        <f t="shared" si="124"/>
        <v>#N/A</v>
      </c>
      <c r="AJ68" s="1314" t="e">
        <f t="shared" si="125"/>
        <v>#N/A</v>
      </c>
      <c r="AK68" s="1314" t="e">
        <f t="shared" si="126"/>
        <v>#N/A</v>
      </c>
      <c r="AL68" s="1314" t="e">
        <f t="shared" si="127"/>
        <v>#N/A</v>
      </c>
      <c r="AM68" s="1314" t="e">
        <f t="shared" si="128"/>
        <v>#N/A</v>
      </c>
      <c r="AN68" s="1314" t="e">
        <f t="shared" si="129"/>
        <v>#N/A</v>
      </c>
      <c r="AO68" s="1314" t="e">
        <f t="shared" si="130"/>
        <v>#N/A</v>
      </c>
      <c r="AP68" s="1314" t="e">
        <f t="shared" si="131"/>
        <v>#N/A</v>
      </c>
      <c r="AQ68" s="1314" t="e">
        <f t="shared" si="132"/>
        <v>#N/A</v>
      </c>
      <c r="AR68" s="1314" t="e">
        <f t="shared" si="133"/>
        <v>#N/A</v>
      </c>
      <c r="AS68" s="1314" t="e">
        <f t="shared" si="134"/>
        <v>#N/A</v>
      </c>
      <c r="AT68" s="1314" t="e">
        <f t="shared" si="135"/>
        <v>#N/A</v>
      </c>
      <c r="AU68" s="1314" t="e">
        <f t="shared" si="136"/>
        <v>#N/A</v>
      </c>
      <c r="AV68" s="1314" t="e">
        <f t="shared" si="137"/>
        <v>#N/A</v>
      </c>
      <c r="AW68" s="1314" t="e">
        <f t="shared" si="138"/>
        <v>#N/A</v>
      </c>
      <c r="AX68" s="1314" t="e">
        <f t="shared" si="139"/>
        <v>#N/A</v>
      </c>
      <c r="AY68" s="1314" t="e">
        <f t="shared" si="140"/>
        <v>#N/A</v>
      </c>
      <c r="AZ68" s="1314" t="e">
        <f t="shared" si="141"/>
        <v>#N/A</v>
      </c>
      <c r="BA68" s="1314" t="e">
        <f t="shared" si="142"/>
        <v>#N/A</v>
      </c>
      <c r="BB68" s="1314" t="e">
        <f t="shared" si="143"/>
        <v>#N/A</v>
      </c>
      <c r="BC68" s="1314" t="e">
        <f t="shared" si="144"/>
        <v>#N/A</v>
      </c>
      <c r="BD68" s="1314" t="e">
        <f t="shared" si="145"/>
        <v>#N/A</v>
      </c>
      <c r="BE68" s="1314" t="e">
        <f t="shared" si="146"/>
        <v>#N/A</v>
      </c>
      <c r="BF68" s="1314" t="e">
        <f t="shared" si="147"/>
        <v>#N/A</v>
      </c>
      <c r="BG68" s="1314" t="e">
        <f t="shared" si="148"/>
        <v>#N/A</v>
      </c>
      <c r="BH68" s="1314" t="e">
        <f t="shared" si="149"/>
        <v>#N/A</v>
      </c>
      <c r="BI68" s="1314" t="e">
        <f t="shared" si="150"/>
        <v>#N/A</v>
      </c>
      <c r="BJ68" s="1314" t="e">
        <f t="shared" si="151"/>
        <v>#N/A</v>
      </c>
      <c r="BK68" s="1314" t="e">
        <f t="shared" si="152"/>
        <v>#N/A</v>
      </c>
      <c r="BL68" s="1314" t="e">
        <f t="shared" si="153"/>
        <v>#N/A</v>
      </c>
      <c r="BM68" s="1314" t="e">
        <f t="shared" si="154"/>
        <v>#N/A</v>
      </c>
      <c r="BN68" s="1314" t="e">
        <f t="shared" si="155"/>
        <v>#N/A</v>
      </c>
      <c r="BO68" s="1314" t="e">
        <f t="shared" si="156"/>
        <v>#N/A</v>
      </c>
      <c r="BP68" s="1314" t="e">
        <f t="shared" si="157"/>
        <v>#N/A</v>
      </c>
      <c r="BQ68" s="1314" t="e">
        <f t="shared" si="158"/>
        <v>#N/A</v>
      </c>
      <c r="BR68" s="1314" t="e">
        <f t="shared" si="159"/>
        <v>#N/A</v>
      </c>
      <c r="BS68" s="1314" t="e">
        <f t="shared" si="160"/>
        <v>#N/A</v>
      </c>
      <c r="BT68" s="1314" t="e">
        <f t="shared" si="161"/>
        <v>#N/A</v>
      </c>
      <c r="BU68" s="1314" t="e">
        <f t="shared" si="162"/>
        <v>#N/A</v>
      </c>
      <c r="BV68" s="1314" t="e">
        <f t="shared" si="163"/>
        <v>#N/A</v>
      </c>
      <c r="BW68" s="1314" t="e">
        <f t="shared" si="164"/>
        <v>#N/A</v>
      </c>
      <c r="BX68" s="1314" t="e">
        <f t="shared" si="165"/>
        <v>#N/A</v>
      </c>
      <c r="BY68" s="1314" t="e">
        <f t="shared" si="166"/>
        <v>#N/A</v>
      </c>
      <c r="BZ68" s="1315"/>
      <c r="CA68" s="1315"/>
      <c r="CB68" s="1315"/>
      <c r="CC68" s="1315"/>
      <c r="CD68" s="1315"/>
      <c r="CE68" s="1315"/>
      <c r="CF68" s="1315"/>
      <c r="CG68" s="1315"/>
      <c r="CH68" s="1315"/>
      <c r="CI68" s="1315"/>
      <c r="CJ68" s="1315"/>
      <c r="CK68" s="1315"/>
      <c r="CL68" s="1315"/>
      <c r="CM68" s="1315"/>
      <c r="CN68" s="1315"/>
      <c r="CO68" s="1315"/>
      <c r="CP68" s="1315"/>
      <c r="CQ68" s="1315"/>
      <c r="CR68" s="1315"/>
      <c r="CS68" s="1315"/>
      <c r="CT68" s="1315"/>
      <c r="CU68" s="1315"/>
      <c r="CV68" s="1315"/>
      <c r="CW68" s="1315"/>
      <c r="CX68" s="1315"/>
      <c r="CY68" s="1315"/>
      <c r="CZ68" s="1315"/>
      <c r="DA68" s="1315"/>
      <c r="DB68" s="1315"/>
      <c r="DC68" s="1315"/>
      <c r="DD68" s="1315"/>
      <c r="DE68" s="1315"/>
      <c r="DF68" s="1315"/>
      <c r="DG68" s="1315"/>
      <c r="DH68" s="1315"/>
      <c r="DI68" s="1315"/>
      <c r="DJ68" s="1315"/>
      <c r="DK68" s="1315"/>
      <c r="DL68" s="1315"/>
      <c r="DM68" s="1315"/>
      <c r="DN68" s="1315"/>
      <c r="DO68" s="1315"/>
      <c r="DP68" s="1315"/>
      <c r="DQ68" s="1315"/>
      <c r="DR68" s="1315"/>
      <c r="DS68" s="1315"/>
      <c r="DT68" s="1315"/>
      <c r="DU68" s="1315"/>
      <c r="DV68" s="1315"/>
      <c r="DW68" s="1315"/>
      <c r="DX68" s="1315"/>
      <c r="DY68" s="1315"/>
      <c r="DZ68" s="1315"/>
      <c r="EA68" s="1315"/>
      <c r="EB68" s="1315"/>
      <c r="EC68" s="1315"/>
      <c r="ED68" s="1315"/>
      <c r="EE68" s="1315"/>
      <c r="EF68" s="1315"/>
      <c r="EG68" s="1315"/>
      <c r="EH68" s="1315"/>
      <c r="EI68" s="1315"/>
      <c r="EJ68" s="1315"/>
      <c r="EK68" s="1315"/>
      <c r="EL68" s="1315"/>
      <c r="EM68" s="1315"/>
      <c r="EN68" s="1315"/>
      <c r="EO68" s="1315"/>
      <c r="EP68" s="1315"/>
      <c r="EQ68" s="1315"/>
      <c r="ER68" s="1315"/>
      <c r="ES68" s="1315"/>
      <c r="ET68" s="1315"/>
      <c r="EU68" s="1315"/>
      <c r="EV68" s="1315"/>
      <c r="EW68" s="1315"/>
      <c r="EX68" s="1315"/>
      <c r="EY68" s="1315"/>
      <c r="EZ68" s="1315"/>
      <c r="FA68" s="1315"/>
      <c r="FB68" s="1315"/>
      <c r="FC68" s="1315"/>
      <c r="FD68" s="1315"/>
      <c r="FE68" s="1315"/>
      <c r="FF68" s="1315"/>
      <c r="FG68" s="1315"/>
      <c r="FH68" s="1315"/>
      <c r="FI68" s="1315"/>
      <c r="FJ68" s="1315"/>
      <c r="FK68" s="1315"/>
      <c r="FL68" s="1315"/>
      <c r="FM68" s="1315"/>
      <c r="FN68" s="1315"/>
      <c r="FO68" s="1315"/>
      <c r="FP68" s="1315"/>
      <c r="FQ68" s="1315"/>
      <c r="FR68" s="1315"/>
      <c r="FS68" s="1315"/>
      <c r="FT68" s="1315"/>
      <c r="FU68" s="1315"/>
      <c r="FV68" s="1315"/>
      <c r="FW68" s="1315"/>
      <c r="FX68" s="1315"/>
      <c r="FY68" s="1315"/>
      <c r="FZ68" s="1315"/>
      <c r="GA68" s="1315"/>
      <c r="GB68" s="1315"/>
      <c r="GC68" s="1315"/>
      <c r="GD68" s="1315"/>
      <c r="GE68" s="1315"/>
      <c r="GF68" s="1315"/>
      <c r="GG68" s="1315"/>
      <c r="GH68" s="1315"/>
      <c r="GI68" s="1315"/>
      <c r="GJ68" s="1315"/>
      <c r="GK68" s="1315"/>
      <c r="GL68" s="1315"/>
      <c r="GM68" s="1315"/>
      <c r="GN68" s="1315"/>
      <c r="GO68" s="1315"/>
      <c r="GP68" s="1315"/>
      <c r="GQ68" s="1315"/>
      <c r="GR68" s="1315"/>
      <c r="GS68" s="1315"/>
      <c r="GT68" s="1315"/>
      <c r="GU68" s="1315"/>
      <c r="GV68" s="1315"/>
      <c r="GW68" s="1315"/>
      <c r="GX68" s="1315"/>
      <c r="GY68" s="1315"/>
      <c r="GZ68" s="1315"/>
      <c r="HA68" s="1315"/>
      <c r="HB68" s="1315"/>
      <c r="HC68" s="1315"/>
      <c r="HD68" s="1315"/>
      <c r="HE68" s="1315"/>
      <c r="HF68" s="1315"/>
      <c r="HG68" s="1315"/>
      <c r="HH68" s="1315"/>
      <c r="HI68" s="1315"/>
      <c r="HJ68" s="1315"/>
      <c r="HK68" s="1315"/>
      <c r="HL68" s="1315"/>
      <c r="HM68" s="1315"/>
      <c r="HN68" s="1315"/>
      <c r="HO68" s="1315"/>
      <c r="HP68" s="1315"/>
      <c r="HQ68" s="1315"/>
      <c r="HR68" s="1315"/>
      <c r="HS68" s="1315"/>
      <c r="HT68" s="1315"/>
      <c r="HU68" s="1315"/>
      <c r="HV68" s="1315"/>
      <c r="HW68" s="1315"/>
      <c r="HX68" s="1315"/>
      <c r="HY68" s="1315"/>
      <c r="HZ68" s="1315"/>
      <c r="IA68" s="1315"/>
      <c r="IB68" s="1315"/>
      <c r="IC68" s="1315"/>
      <c r="ID68" s="1315"/>
      <c r="IE68" s="1315"/>
      <c r="IF68" s="1315"/>
      <c r="IG68" s="1315"/>
      <c r="IH68" s="1315"/>
      <c r="II68" s="1315"/>
      <c r="IJ68" s="1315"/>
      <c r="IK68" s="1315"/>
      <c r="IL68" s="1315"/>
      <c r="IM68" s="1315"/>
      <c r="IN68" s="1315"/>
      <c r="IO68" s="1315"/>
      <c r="IP68" s="1315"/>
      <c r="IQ68" s="1315"/>
      <c r="IR68" s="1315"/>
      <c r="IS68" s="1315"/>
      <c r="IT68" s="1315"/>
      <c r="IU68" s="1315"/>
      <c r="IV68" s="1315"/>
      <c r="IW68" s="1315"/>
      <c r="IX68" s="1315"/>
      <c r="IY68" s="1315"/>
      <c r="IZ68" s="1315"/>
      <c r="JA68" s="1315"/>
      <c r="JB68" s="1315"/>
      <c r="JC68" s="1315"/>
      <c r="JD68" s="1315"/>
      <c r="JE68" s="1315"/>
      <c r="JF68" s="1315"/>
      <c r="JG68" s="1315"/>
      <c r="JH68" s="1315"/>
      <c r="JI68" s="1315"/>
      <c r="JJ68" s="1315"/>
      <c r="JK68" s="1315"/>
      <c r="JL68" s="1315"/>
      <c r="JM68" s="1315"/>
      <c r="JN68" s="1315"/>
      <c r="JO68" s="1315"/>
      <c r="JP68" s="1315"/>
      <c r="JQ68" s="1315"/>
      <c r="JR68" s="1315"/>
      <c r="JS68" s="1315"/>
      <c r="JT68" s="1315"/>
      <c r="JU68" s="1315"/>
      <c r="JV68" s="1315"/>
      <c r="JW68" s="1315"/>
      <c r="JX68" s="1315"/>
      <c r="JY68" s="1315"/>
      <c r="JZ68" s="1315"/>
      <c r="KA68" s="1315"/>
      <c r="KB68" s="1315"/>
      <c r="KC68" s="1315"/>
      <c r="KD68" s="1315"/>
      <c r="KE68" s="1315"/>
      <c r="KF68" s="1315"/>
      <c r="KG68" s="1315"/>
      <c r="KH68" s="1315"/>
      <c r="KI68" s="1315"/>
      <c r="KJ68" s="1315"/>
      <c r="KK68" s="1315"/>
      <c r="KL68" s="1315"/>
      <c r="KM68" s="1315"/>
      <c r="KN68" s="1315"/>
      <c r="KO68" s="1315"/>
      <c r="KP68" s="1315"/>
      <c r="KQ68" s="1315"/>
      <c r="KR68" s="1315"/>
      <c r="KS68" s="1315"/>
      <c r="KT68" s="1315"/>
      <c r="KU68" s="1315"/>
      <c r="KV68" s="1315"/>
    </row>
    <row r="69" spans="1:308" s="51" customFormat="1" ht="12" x14ac:dyDescent="0.2">
      <c r="A69" s="440" t="s">
        <v>112</v>
      </c>
      <c r="B69" s="1312">
        <v>4030</v>
      </c>
      <c r="C69" s="1313">
        <v>25000</v>
      </c>
      <c r="D69" s="1313">
        <f>ROUNDUP(C69*(D$65+1),0)</f>
        <v>26000</v>
      </c>
      <c r="E69" s="1313">
        <f t="shared" si="114"/>
        <v>27118</v>
      </c>
      <c r="F69" s="1313">
        <f t="shared" si="114"/>
        <v>27932</v>
      </c>
      <c r="G69" s="1313">
        <f t="shared" si="114"/>
        <v>28966</v>
      </c>
      <c r="H69" s="1313">
        <f t="shared" si="114"/>
        <v>30125</v>
      </c>
      <c r="I69" s="1313">
        <f t="shared" si="114"/>
        <v>31330</v>
      </c>
      <c r="J69" s="1314">
        <f t="shared" si="114"/>
        <v>32584</v>
      </c>
      <c r="K69" s="1314" t="e">
        <f t="shared" si="114"/>
        <v>#N/A</v>
      </c>
      <c r="L69" s="1314" t="e">
        <f t="shared" si="114"/>
        <v>#N/A</v>
      </c>
      <c r="M69" s="1314" t="e">
        <f t="shared" si="114"/>
        <v>#N/A</v>
      </c>
      <c r="N69" s="1314" t="e">
        <f t="shared" si="114"/>
        <v>#N/A</v>
      </c>
      <c r="O69" s="1314" t="e">
        <f t="shared" si="114"/>
        <v>#N/A</v>
      </c>
      <c r="P69" s="1314" t="e">
        <f t="shared" si="114"/>
        <v>#N/A</v>
      </c>
      <c r="Q69" s="1314" t="e">
        <f t="shared" si="114"/>
        <v>#N/A</v>
      </c>
      <c r="R69" s="1314" t="e">
        <f t="shared" si="114"/>
        <v>#N/A</v>
      </c>
      <c r="S69" s="1314" t="e">
        <f t="shared" si="114"/>
        <v>#N/A</v>
      </c>
      <c r="T69" s="1314" t="e">
        <f t="shared" si="114"/>
        <v>#N/A</v>
      </c>
      <c r="U69" s="1314" t="e">
        <f t="shared" si="114"/>
        <v>#N/A</v>
      </c>
      <c r="V69" s="1314" t="e">
        <f t="shared" si="114"/>
        <v>#N/A</v>
      </c>
      <c r="W69" s="1314" t="e">
        <f t="shared" si="114"/>
        <v>#N/A</v>
      </c>
      <c r="X69" s="1314" t="e">
        <f t="shared" si="114"/>
        <v>#N/A</v>
      </c>
      <c r="Y69" s="1314" t="e">
        <f t="shared" si="114"/>
        <v>#N/A</v>
      </c>
      <c r="Z69" s="1314" t="e">
        <f t="shared" si="115"/>
        <v>#N/A</v>
      </c>
      <c r="AA69" s="1314" t="e">
        <f t="shared" si="116"/>
        <v>#N/A</v>
      </c>
      <c r="AB69" s="1314" t="e">
        <f t="shared" si="117"/>
        <v>#N/A</v>
      </c>
      <c r="AC69" s="1314" t="e">
        <f t="shared" si="118"/>
        <v>#N/A</v>
      </c>
      <c r="AD69" s="1314" t="e">
        <f t="shared" si="119"/>
        <v>#N/A</v>
      </c>
      <c r="AE69" s="1314" t="e">
        <f t="shared" si="120"/>
        <v>#N/A</v>
      </c>
      <c r="AF69" s="1314" t="e">
        <f t="shared" si="121"/>
        <v>#N/A</v>
      </c>
      <c r="AG69" s="1314" t="e">
        <f t="shared" si="122"/>
        <v>#N/A</v>
      </c>
      <c r="AH69" s="1314" t="e">
        <f t="shared" si="123"/>
        <v>#N/A</v>
      </c>
      <c r="AI69" s="1314" t="e">
        <f t="shared" si="124"/>
        <v>#N/A</v>
      </c>
      <c r="AJ69" s="1314" t="e">
        <f t="shared" si="125"/>
        <v>#N/A</v>
      </c>
      <c r="AK69" s="1314" t="e">
        <f t="shared" si="126"/>
        <v>#N/A</v>
      </c>
      <c r="AL69" s="1314" t="e">
        <f t="shared" si="127"/>
        <v>#N/A</v>
      </c>
      <c r="AM69" s="1314" t="e">
        <f t="shared" si="128"/>
        <v>#N/A</v>
      </c>
      <c r="AN69" s="1314" t="e">
        <f t="shared" si="129"/>
        <v>#N/A</v>
      </c>
      <c r="AO69" s="1314" t="e">
        <f t="shared" si="130"/>
        <v>#N/A</v>
      </c>
      <c r="AP69" s="1314" t="e">
        <f t="shared" si="131"/>
        <v>#N/A</v>
      </c>
      <c r="AQ69" s="1314" t="e">
        <f t="shared" si="132"/>
        <v>#N/A</v>
      </c>
      <c r="AR69" s="1314" t="e">
        <f t="shared" si="133"/>
        <v>#N/A</v>
      </c>
      <c r="AS69" s="1314" t="e">
        <f t="shared" si="134"/>
        <v>#N/A</v>
      </c>
      <c r="AT69" s="1314" t="e">
        <f t="shared" si="135"/>
        <v>#N/A</v>
      </c>
      <c r="AU69" s="1314" t="e">
        <f t="shared" si="136"/>
        <v>#N/A</v>
      </c>
      <c r="AV69" s="1314" t="e">
        <f t="shared" si="137"/>
        <v>#N/A</v>
      </c>
      <c r="AW69" s="1314" t="e">
        <f t="shared" si="138"/>
        <v>#N/A</v>
      </c>
      <c r="AX69" s="1314" t="e">
        <f t="shared" si="139"/>
        <v>#N/A</v>
      </c>
      <c r="AY69" s="1314" t="e">
        <f t="shared" si="140"/>
        <v>#N/A</v>
      </c>
      <c r="AZ69" s="1314" t="e">
        <f t="shared" si="141"/>
        <v>#N/A</v>
      </c>
      <c r="BA69" s="1314" t="e">
        <f t="shared" si="142"/>
        <v>#N/A</v>
      </c>
      <c r="BB69" s="1314" t="e">
        <f t="shared" si="143"/>
        <v>#N/A</v>
      </c>
      <c r="BC69" s="1314" t="e">
        <f t="shared" si="144"/>
        <v>#N/A</v>
      </c>
      <c r="BD69" s="1314" t="e">
        <f t="shared" si="145"/>
        <v>#N/A</v>
      </c>
      <c r="BE69" s="1314" t="e">
        <f t="shared" si="146"/>
        <v>#N/A</v>
      </c>
      <c r="BF69" s="1314" t="e">
        <f t="shared" si="147"/>
        <v>#N/A</v>
      </c>
      <c r="BG69" s="1314" t="e">
        <f t="shared" si="148"/>
        <v>#N/A</v>
      </c>
      <c r="BH69" s="1314" t="e">
        <f t="shared" si="149"/>
        <v>#N/A</v>
      </c>
      <c r="BI69" s="1314" t="e">
        <f t="shared" si="150"/>
        <v>#N/A</v>
      </c>
      <c r="BJ69" s="1314" t="e">
        <f t="shared" si="151"/>
        <v>#N/A</v>
      </c>
      <c r="BK69" s="1314" t="e">
        <f t="shared" si="152"/>
        <v>#N/A</v>
      </c>
      <c r="BL69" s="1314" t="e">
        <f t="shared" si="153"/>
        <v>#N/A</v>
      </c>
      <c r="BM69" s="1314" t="e">
        <f t="shared" si="154"/>
        <v>#N/A</v>
      </c>
      <c r="BN69" s="1314" t="e">
        <f t="shared" si="155"/>
        <v>#N/A</v>
      </c>
      <c r="BO69" s="1314" t="e">
        <f t="shared" si="156"/>
        <v>#N/A</v>
      </c>
      <c r="BP69" s="1314" t="e">
        <f t="shared" si="157"/>
        <v>#N/A</v>
      </c>
      <c r="BQ69" s="1314" t="e">
        <f t="shared" si="158"/>
        <v>#N/A</v>
      </c>
      <c r="BR69" s="1314" t="e">
        <f t="shared" si="159"/>
        <v>#N/A</v>
      </c>
      <c r="BS69" s="1314" t="e">
        <f t="shared" si="160"/>
        <v>#N/A</v>
      </c>
      <c r="BT69" s="1314" t="e">
        <f t="shared" si="161"/>
        <v>#N/A</v>
      </c>
      <c r="BU69" s="1314" t="e">
        <f t="shared" si="162"/>
        <v>#N/A</v>
      </c>
      <c r="BV69" s="1314" t="e">
        <f t="shared" si="163"/>
        <v>#N/A</v>
      </c>
      <c r="BW69" s="1314" t="e">
        <f t="shared" si="164"/>
        <v>#N/A</v>
      </c>
      <c r="BX69" s="1314" t="e">
        <f t="shared" si="165"/>
        <v>#N/A</v>
      </c>
      <c r="BY69" s="1314" t="e">
        <f t="shared" si="166"/>
        <v>#N/A</v>
      </c>
      <c r="BZ69" s="1315"/>
      <c r="CA69" s="1315"/>
      <c r="CB69" s="1315"/>
      <c r="CC69" s="1315"/>
      <c r="CD69" s="1315"/>
      <c r="CE69" s="1315"/>
      <c r="CF69" s="1315"/>
      <c r="CG69" s="1315"/>
      <c r="CH69" s="1315"/>
      <c r="CI69" s="1315"/>
      <c r="CJ69" s="1315"/>
      <c r="CK69" s="1315"/>
      <c r="CL69" s="1315"/>
      <c r="CM69" s="1315"/>
      <c r="CN69" s="1315"/>
      <c r="CO69" s="1315"/>
      <c r="CP69" s="1315"/>
      <c r="CQ69" s="1315"/>
      <c r="CR69" s="1315"/>
      <c r="CS69" s="1315"/>
      <c r="CT69" s="1315"/>
      <c r="CU69" s="1315"/>
      <c r="CV69" s="1315"/>
      <c r="CW69" s="1315"/>
      <c r="CX69" s="1315"/>
      <c r="CY69" s="1315"/>
      <c r="CZ69" s="1315"/>
      <c r="DA69" s="1315"/>
      <c r="DB69" s="1315"/>
      <c r="DC69" s="1315"/>
      <c r="DD69" s="1315"/>
      <c r="DE69" s="1315"/>
      <c r="DF69" s="1315"/>
      <c r="DG69" s="1315"/>
      <c r="DH69" s="1315"/>
      <c r="DI69" s="1315"/>
      <c r="DJ69" s="1315"/>
      <c r="DK69" s="1315"/>
      <c r="DL69" s="1315"/>
      <c r="DM69" s="1315"/>
      <c r="DN69" s="1315"/>
      <c r="DO69" s="1315"/>
      <c r="DP69" s="1315"/>
      <c r="DQ69" s="1315"/>
      <c r="DR69" s="1315"/>
      <c r="DS69" s="1315"/>
      <c r="DT69" s="1315"/>
      <c r="DU69" s="1315"/>
      <c r="DV69" s="1315"/>
      <c r="DW69" s="1315"/>
      <c r="DX69" s="1315"/>
      <c r="DY69" s="1315"/>
      <c r="DZ69" s="1315"/>
      <c r="EA69" s="1315"/>
      <c r="EB69" s="1315"/>
      <c r="EC69" s="1315"/>
      <c r="ED69" s="1315"/>
      <c r="EE69" s="1315"/>
      <c r="EF69" s="1315"/>
      <c r="EG69" s="1315"/>
      <c r="EH69" s="1315"/>
      <c r="EI69" s="1315"/>
      <c r="EJ69" s="1315"/>
      <c r="EK69" s="1315"/>
      <c r="EL69" s="1315"/>
      <c r="EM69" s="1315"/>
      <c r="EN69" s="1315"/>
      <c r="EO69" s="1315"/>
      <c r="EP69" s="1315"/>
      <c r="EQ69" s="1315"/>
      <c r="ER69" s="1315"/>
      <c r="ES69" s="1315"/>
      <c r="ET69" s="1315"/>
      <c r="EU69" s="1315"/>
      <c r="EV69" s="1315"/>
      <c r="EW69" s="1315"/>
      <c r="EX69" s="1315"/>
      <c r="EY69" s="1315"/>
      <c r="EZ69" s="1315"/>
      <c r="FA69" s="1315"/>
      <c r="FB69" s="1315"/>
      <c r="FC69" s="1315"/>
      <c r="FD69" s="1315"/>
      <c r="FE69" s="1315"/>
      <c r="FF69" s="1315"/>
      <c r="FG69" s="1315"/>
      <c r="FH69" s="1315"/>
      <c r="FI69" s="1315"/>
      <c r="FJ69" s="1315"/>
      <c r="FK69" s="1315"/>
      <c r="FL69" s="1315"/>
      <c r="FM69" s="1315"/>
      <c r="FN69" s="1315"/>
      <c r="FO69" s="1315"/>
      <c r="FP69" s="1315"/>
      <c r="FQ69" s="1315"/>
      <c r="FR69" s="1315"/>
      <c r="FS69" s="1315"/>
      <c r="FT69" s="1315"/>
      <c r="FU69" s="1315"/>
      <c r="FV69" s="1315"/>
      <c r="FW69" s="1315"/>
      <c r="FX69" s="1315"/>
      <c r="FY69" s="1315"/>
      <c r="FZ69" s="1315"/>
      <c r="GA69" s="1315"/>
      <c r="GB69" s="1315"/>
      <c r="GC69" s="1315"/>
      <c r="GD69" s="1315"/>
      <c r="GE69" s="1315"/>
      <c r="GF69" s="1315"/>
      <c r="GG69" s="1315"/>
      <c r="GH69" s="1315"/>
      <c r="GI69" s="1315"/>
      <c r="GJ69" s="1315"/>
      <c r="GK69" s="1315"/>
      <c r="GL69" s="1315"/>
      <c r="GM69" s="1315"/>
      <c r="GN69" s="1315"/>
      <c r="GO69" s="1315"/>
      <c r="GP69" s="1315"/>
      <c r="GQ69" s="1315"/>
      <c r="GR69" s="1315"/>
      <c r="GS69" s="1315"/>
      <c r="GT69" s="1315"/>
      <c r="GU69" s="1315"/>
      <c r="GV69" s="1315"/>
      <c r="GW69" s="1315"/>
      <c r="GX69" s="1315"/>
      <c r="GY69" s="1315"/>
      <c r="GZ69" s="1315"/>
      <c r="HA69" s="1315"/>
      <c r="HB69" s="1315"/>
      <c r="HC69" s="1315"/>
      <c r="HD69" s="1315"/>
      <c r="HE69" s="1315"/>
      <c r="HF69" s="1315"/>
      <c r="HG69" s="1315"/>
      <c r="HH69" s="1315"/>
      <c r="HI69" s="1315"/>
      <c r="HJ69" s="1315"/>
      <c r="HK69" s="1315"/>
      <c r="HL69" s="1315"/>
      <c r="HM69" s="1315"/>
      <c r="HN69" s="1315"/>
      <c r="HO69" s="1315"/>
      <c r="HP69" s="1315"/>
      <c r="HQ69" s="1315"/>
      <c r="HR69" s="1315"/>
      <c r="HS69" s="1315"/>
      <c r="HT69" s="1315"/>
      <c r="HU69" s="1315"/>
      <c r="HV69" s="1315"/>
      <c r="HW69" s="1315"/>
      <c r="HX69" s="1315"/>
      <c r="HY69" s="1315"/>
      <c r="HZ69" s="1315"/>
      <c r="IA69" s="1315"/>
      <c r="IB69" s="1315"/>
      <c r="IC69" s="1315"/>
      <c r="ID69" s="1315"/>
      <c r="IE69" s="1315"/>
      <c r="IF69" s="1315"/>
      <c r="IG69" s="1315"/>
      <c r="IH69" s="1315"/>
      <c r="II69" s="1315"/>
      <c r="IJ69" s="1315"/>
      <c r="IK69" s="1315"/>
      <c r="IL69" s="1315"/>
      <c r="IM69" s="1315"/>
      <c r="IN69" s="1315"/>
      <c r="IO69" s="1315"/>
      <c r="IP69" s="1315"/>
      <c r="IQ69" s="1315"/>
      <c r="IR69" s="1315"/>
      <c r="IS69" s="1315"/>
      <c r="IT69" s="1315"/>
      <c r="IU69" s="1315"/>
      <c r="IV69" s="1315"/>
      <c r="IW69" s="1315"/>
      <c r="IX69" s="1315"/>
      <c r="IY69" s="1315"/>
      <c r="IZ69" s="1315"/>
      <c r="JA69" s="1315"/>
      <c r="JB69" s="1315"/>
      <c r="JC69" s="1315"/>
      <c r="JD69" s="1315"/>
      <c r="JE69" s="1315"/>
      <c r="JF69" s="1315"/>
      <c r="JG69" s="1315"/>
      <c r="JH69" s="1315"/>
      <c r="JI69" s="1315"/>
      <c r="JJ69" s="1315"/>
      <c r="JK69" s="1315"/>
      <c r="JL69" s="1315"/>
      <c r="JM69" s="1315"/>
      <c r="JN69" s="1315"/>
      <c r="JO69" s="1315"/>
      <c r="JP69" s="1315"/>
      <c r="JQ69" s="1315"/>
      <c r="JR69" s="1315"/>
      <c r="JS69" s="1315"/>
      <c r="JT69" s="1315"/>
      <c r="JU69" s="1315"/>
      <c r="JV69" s="1315"/>
      <c r="JW69" s="1315"/>
      <c r="JX69" s="1315"/>
      <c r="JY69" s="1315"/>
      <c r="JZ69" s="1315"/>
      <c r="KA69" s="1315"/>
      <c r="KB69" s="1315"/>
      <c r="KC69" s="1315"/>
      <c r="KD69" s="1315"/>
      <c r="KE69" s="1315"/>
      <c r="KF69" s="1315"/>
      <c r="KG69" s="1315"/>
      <c r="KH69" s="1315"/>
      <c r="KI69" s="1315"/>
      <c r="KJ69" s="1315"/>
      <c r="KK69" s="1315"/>
      <c r="KL69" s="1315"/>
      <c r="KM69" s="1315"/>
      <c r="KN69" s="1315"/>
      <c r="KO69" s="1315"/>
      <c r="KP69" s="1315"/>
      <c r="KQ69" s="1315"/>
      <c r="KR69" s="1315"/>
      <c r="KS69" s="1315"/>
      <c r="KT69" s="1315"/>
      <c r="KU69" s="1315"/>
      <c r="KV69" s="1315"/>
    </row>
    <row r="70" spans="1:308" s="51" customFormat="1" ht="12" x14ac:dyDescent="0.2">
      <c r="A70" s="440" t="s">
        <v>220</v>
      </c>
      <c r="B70" s="1312">
        <v>3831</v>
      </c>
      <c r="C70" s="1313">
        <v>22000</v>
      </c>
      <c r="D70" s="1313">
        <f>ROUNDUP(C70*(D$65+1),0)</f>
        <v>22880</v>
      </c>
      <c r="E70" s="1313">
        <f t="shared" si="114"/>
        <v>23864</v>
      </c>
      <c r="F70" s="1313">
        <f t="shared" si="114"/>
        <v>24580</v>
      </c>
      <c r="G70" s="1313">
        <f t="shared" si="114"/>
        <v>25490</v>
      </c>
      <c r="H70" s="1313">
        <f t="shared" si="114"/>
        <v>26510</v>
      </c>
      <c r="I70" s="1313">
        <f t="shared" si="114"/>
        <v>27571</v>
      </c>
      <c r="J70" s="1314">
        <f t="shared" si="114"/>
        <v>28674</v>
      </c>
      <c r="K70" s="1314" t="e">
        <f t="shared" si="114"/>
        <v>#N/A</v>
      </c>
      <c r="L70" s="1314" t="e">
        <f t="shared" si="114"/>
        <v>#N/A</v>
      </c>
      <c r="M70" s="1314" t="e">
        <f t="shared" si="114"/>
        <v>#N/A</v>
      </c>
      <c r="N70" s="1314" t="e">
        <f t="shared" si="114"/>
        <v>#N/A</v>
      </c>
      <c r="O70" s="1314" t="e">
        <f t="shared" si="114"/>
        <v>#N/A</v>
      </c>
      <c r="P70" s="1314" t="e">
        <f t="shared" si="114"/>
        <v>#N/A</v>
      </c>
      <c r="Q70" s="1314" t="e">
        <f t="shared" si="114"/>
        <v>#N/A</v>
      </c>
      <c r="R70" s="1314" t="e">
        <f t="shared" si="114"/>
        <v>#N/A</v>
      </c>
      <c r="S70" s="1314" t="e">
        <f t="shared" si="114"/>
        <v>#N/A</v>
      </c>
      <c r="T70" s="1314" t="e">
        <f t="shared" si="114"/>
        <v>#N/A</v>
      </c>
      <c r="U70" s="1314" t="e">
        <f t="shared" si="114"/>
        <v>#N/A</v>
      </c>
      <c r="V70" s="1314" t="e">
        <f t="shared" si="114"/>
        <v>#N/A</v>
      </c>
      <c r="W70" s="1314" t="e">
        <f t="shared" si="114"/>
        <v>#N/A</v>
      </c>
      <c r="X70" s="1314" t="e">
        <f t="shared" si="114"/>
        <v>#N/A</v>
      </c>
      <c r="Y70" s="1314" t="e">
        <f t="shared" si="114"/>
        <v>#N/A</v>
      </c>
      <c r="Z70" s="1314" t="e">
        <f t="shared" si="115"/>
        <v>#N/A</v>
      </c>
      <c r="AA70" s="1314" t="e">
        <f t="shared" si="116"/>
        <v>#N/A</v>
      </c>
      <c r="AB70" s="1314" t="e">
        <f t="shared" si="117"/>
        <v>#N/A</v>
      </c>
      <c r="AC70" s="1314" t="e">
        <f t="shared" si="118"/>
        <v>#N/A</v>
      </c>
      <c r="AD70" s="1314" t="e">
        <f t="shared" si="119"/>
        <v>#N/A</v>
      </c>
      <c r="AE70" s="1314" t="e">
        <f t="shared" si="120"/>
        <v>#N/A</v>
      </c>
      <c r="AF70" s="1314" t="e">
        <f t="shared" si="121"/>
        <v>#N/A</v>
      </c>
      <c r="AG70" s="1314" t="e">
        <f t="shared" si="122"/>
        <v>#N/A</v>
      </c>
      <c r="AH70" s="1314" t="e">
        <f t="shared" si="123"/>
        <v>#N/A</v>
      </c>
      <c r="AI70" s="1314" t="e">
        <f t="shared" si="124"/>
        <v>#N/A</v>
      </c>
      <c r="AJ70" s="1314" t="e">
        <f t="shared" si="125"/>
        <v>#N/A</v>
      </c>
      <c r="AK70" s="1314" t="e">
        <f t="shared" si="126"/>
        <v>#N/A</v>
      </c>
      <c r="AL70" s="1314" t="e">
        <f t="shared" si="127"/>
        <v>#N/A</v>
      </c>
      <c r="AM70" s="1314" t="e">
        <f t="shared" si="128"/>
        <v>#N/A</v>
      </c>
      <c r="AN70" s="1314" t="e">
        <f t="shared" si="129"/>
        <v>#N/A</v>
      </c>
      <c r="AO70" s="1314" t="e">
        <f t="shared" si="130"/>
        <v>#N/A</v>
      </c>
      <c r="AP70" s="1314" t="e">
        <f t="shared" si="131"/>
        <v>#N/A</v>
      </c>
      <c r="AQ70" s="1314" t="e">
        <f t="shared" si="132"/>
        <v>#N/A</v>
      </c>
      <c r="AR70" s="1314" t="e">
        <f t="shared" si="133"/>
        <v>#N/A</v>
      </c>
      <c r="AS70" s="1314" t="e">
        <f t="shared" si="134"/>
        <v>#N/A</v>
      </c>
      <c r="AT70" s="1314" t="e">
        <f t="shared" si="135"/>
        <v>#N/A</v>
      </c>
      <c r="AU70" s="1314" t="e">
        <f t="shared" si="136"/>
        <v>#N/A</v>
      </c>
      <c r="AV70" s="1314" t="e">
        <f t="shared" si="137"/>
        <v>#N/A</v>
      </c>
      <c r="AW70" s="1314" t="e">
        <f t="shared" si="138"/>
        <v>#N/A</v>
      </c>
      <c r="AX70" s="1314" t="e">
        <f t="shared" si="139"/>
        <v>#N/A</v>
      </c>
      <c r="AY70" s="1314" t="e">
        <f t="shared" si="140"/>
        <v>#N/A</v>
      </c>
      <c r="AZ70" s="1314" t="e">
        <f t="shared" si="141"/>
        <v>#N/A</v>
      </c>
      <c r="BA70" s="1314" t="e">
        <f t="shared" si="142"/>
        <v>#N/A</v>
      </c>
      <c r="BB70" s="1314" t="e">
        <f t="shared" si="143"/>
        <v>#N/A</v>
      </c>
      <c r="BC70" s="1314" t="e">
        <f t="shared" si="144"/>
        <v>#N/A</v>
      </c>
      <c r="BD70" s="1314" t="e">
        <f t="shared" si="145"/>
        <v>#N/A</v>
      </c>
      <c r="BE70" s="1314" t="e">
        <f t="shared" si="146"/>
        <v>#N/A</v>
      </c>
      <c r="BF70" s="1314" t="e">
        <f t="shared" si="147"/>
        <v>#N/A</v>
      </c>
      <c r="BG70" s="1314" t="e">
        <f t="shared" si="148"/>
        <v>#N/A</v>
      </c>
      <c r="BH70" s="1314" t="e">
        <f t="shared" si="149"/>
        <v>#N/A</v>
      </c>
      <c r="BI70" s="1314" t="e">
        <f t="shared" si="150"/>
        <v>#N/A</v>
      </c>
      <c r="BJ70" s="1314" t="e">
        <f t="shared" si="151"/>
        <v>#N/A</v>
      </c>
      <c r="BK70" s="1314" t="e">
        <f t="shared" si="152"/>
        <v>#N/A</v>
      </c>
      <c r="BL70" s="1314" t="e">
        <f t="shared" si="153"/>
        <v>#N/A</v>
      </c>
      <c r="BM70" s="1314" t="e">
        <f t="shared" si="154"/>
        <v>#N/A</v>
      </c>
      <c r="BN70" s="1314" t="e">
        <f t="shared" si="155"/>
        <v>#N/A</v>
      </c>
      <c r="BO70" s="1314" t="e">
        <f t="shared" si="156"/>
        <v>#N/A</v>
      </c>
      <c r="BP70" s="1314" t="e">
        <f t="shared" si="157"/>
        <v>#N/A</v>
      </c>
      <c r="BQ70" s="1314" t="e">
        <f t="shared" si="158"/>
        <v>#N/A</v>
      </c>
      <c r="BR70" s="1314" t="e">
        <f t="shared" si="159"/>
        <v>#N/A</v>
      </c>
      <c r="BS70" s="1314" t="e">
        <f t="shared" si="160"/>
        <v>#N/A</v>
      </c>
      <c r="BT70" s="1314" t="e">
        <f t="shared" si="161"/>
        <v>#N/A</v>
      </c>
      <c r="BU70" s="1314" t="e">
        <f t="shared" si="162"/>
        <v>#N/A</v>
      </c>
      <c r="BV70" s="1314" t="e">
        <f t="shared" si="163"/>
        <v>#N/A</v>
      </c>
      <c r="BW70" s="1314" t="e">
        <f t="shared" si="164"/>
        <v>#N/A</v>
      </c>
      <c r="BX70" s="1314" t="e">
        <f t="shared" si="165"/>
        <v>#N/A</v>
      </c>
      <c r="BY70" s="1314" t="e">
        <f t="shared" si="166"/>
        <v>#N/A</v>
      </c>
      <c r="BZ70" s="1315"/>
      <c r="CA70" s="1315"/>
      <c r="CB70" s="1315"/>
      <c r="CC70" s="1315"/>
      <c r="CD70" s="1315"/>
      <c r="CE70" s="1315"/>
      <c r="CF70" s="1315"/>
      <c r="CG70" s="1315"/>
      <c r="CH70" s="1315"/>
      <c r="CI70" s="1315"/>
      <c r="CJ70" s="1315"/>
      <c r="CK70" s="1315"/>
      <c r="CL70" s="1315"/>
      <c r="CM70" s="1315"/>
      <c r="CN70" s="1315"/>
      <c r="CO70" s="1315"/>
      <c r="CP70" s="1315"/>
      <c r="CQ70" s="1315"/>
      <c r="CR70" s="1315"/>
      <c r="CS70" s="1315"/>
      <c r="CT70" s="1315"/>
      <c r="CU70" s="1315"/>
      <c r="CV70" s="1315"/>
      <c r="CW70" s="1315"/>
      <c r="CX70" s="1315"/>
      <c r="CY70" s="1315"/>
      <c r="CZ70" s="1315"/>
      <c r="DA70" s="1315"/>
      <c r="DB70" s="1315"/>
      <c r="DC70" s="1315"/>
      <c r="DD70" s="1315"/>
      <c r="DE70" s="1315"/>
      <c r="DF70" s="1315"/>
      <c r="DG70" s="1315"/>
      <c r="DH70" s="1315"/>
      <c r="DI70" s="1315"/>
      <c r="DJ70" s="1315"/>
      <c r="DK70" s="1315"/>
      <c r="DL70" s="1315"/>
      <c r="DM70" s="1315"/>
      <c r="DN70" s="1315"/>
      <c r="DO70" s="1315"/>
      <c r="DP70" s="1315"/>
      <c r="DQ70" s="1315"/>
      <c r="DR70" s="1315"/>
      <c r="DS70" s="1315"/>
      <c r="DT70" s="1315"/>
      <c r="DU70" s="1315"/>
      <c r="DV70" s="1315"/>
      <c r="DW70" s="1315"/>
      <c r="DX70" s="1315"/>
      <c r="DY70" s="1315"/>
      <c r="DZ70" s="1315"/>
      <c r="EA70" s="1315"/>
      <c r="EB70" s="1315"/>
      <c r="EC70" s="1315"/>
      <c r="ED70" s="1315"/>
      <c r="EE70" s="1315"/>
      <c r="EF70" s="1315"/>
      <c r="EG70" s="1315"/>
      <c r="EH70" s="1315"/>
      <c r="EI70" s="1315"/>
      <c r="EJ70" s="1315"/>
      <c r="EK70" s="1315"/>
      <c r="EL70" s="1315"/>
      <c r="EM70" s="1315"/>
      <c r="EN70" s="1315"/>
      <c r="EO70" s="1315"/>
      <c r="EP70" s="1315"/>
      <c r="EQ70" s="1315"/>
      <c r="ER70" s="1315"/>
      <c r="ES70" s="1315"/>
      <c r="ET70" s="1315"/>
      <c r="EU70" s="1315"/>
      <c r="EV70" s="1315"/>
      <c r="EW70" s="1315"/>
      <c r="EX70" s="1315"/>
      <c r="EY70" s="1315"/>
      <c r="EZ70" s="1315"/>
      <c r="FA70" s="1315"/>
      <c r="FB70" s="1315"/>
      <c r="FC70" s="1315"/>
      <c r="FD70" s="1315"/>
      <c r="FE70" s="1315"/>
      <c r="FF70" s="1315"/>
      <c r="FG70" s="1315"/>
      <c r="FH70" s="1315"/>
      <c r="FI70" s="1315"/>
      <c r="FJ70" s="1315"/>
      <c r="FK70" s="1315"/>
      <c r="FL70" s="1315"/>
      <c r="FM70" s="1315"/>
      <c r="FN70" s="1315"/>
      <c r="FO70" s="1315"/>
      <c r="FP70" s="1315"/>
      <c r="FQ70" s="1315"/>
      <c r="FR70" s="1315"/>
      <c r="FS70" s="1315"/>
      <c r="FT70" s="1315"/>
      <c r="FU70" s="1315"/>
      <c r="FV70" s="1315"/>
      <c r="FW70" s="1315"/>
      <c r="FX70" s="1315"/>
      <c r="FY70" s="1315"/>
      <c r="FZ70" s="1315"/>
      <c r="GA70" s="1315"/>
      <c r="GB70" s="1315"/>
      <c r="GC70" s="1315"/>
      <c r="GD70" s="1315"/>
      <c r="GE70" s="1315"/>
      <c r="GF70" s="1315"/>
      <c r="GG70" s="1315"/>
      <c r="GH70" s="1315"/>
      <c r="GI70" s="1315"/>
      <c r="GJ70" s="1315"/>
      <c r="GK70" s="1315"/>
      <c r="GL70" s="1315"/>
      <c r="GM70" s="1315"/>
      <c r="GN70" s="1315"/>
      <c r="GO70" s="1315"/>
      <c r="GP70" s="1315"/>
      <c r="GQ70" s="1315"/>
      <c r="GR70" s="1315"/>
      <c r="GS70" s="1315"/>
      <c r="GT70" s="1315"/>
      <c r="GU70" s="1315"/>
      <c r="GV70" s="1315"/>
      <c r="GW70" s="1315"/>
      <c r="GX70" s="1315"/>
      <c r="GY70" s="1315"/>
      <c r="GZ70" s="1315"/>
      <c r="HA70" s="1315"/>
      <c r="HB70" s="1315"/>
      <c r="HC70" s="1315"/>
      <c r="HD70" s="1315"/>
      <c r="HE70" s="1315"/>
      <c r="HF70" s="1315"/>
      <c r="HG70" s="1315"/>
      <c r="HH70" s="1315"/>
      <c r="HI70" s="1315"/>
      <c r="HJ70" s="1315"/>
      <c r="HK70" s="1315"/>
      <c r="HL70" s="1315"/>
      <c r="HM70" s="1315"/>
      <c r="HN70" s="1315"/>
      <c r="HO70" s="1315"/>
      <c r="HP70" s="1315"/>
      <c r="HQ70" s="1315"/>
      <c r="HR70" s="1315"/>
      <c r="HS70" s="1315"/>
      <c r="HT70" s="1315"/>
      <c r="HU70" s="1315"/>
      <c r="HV70" s="1315"/>
      <c r="HW70" s="1315"/>
      <c r="HX70" s="1315"/>
      <c r="HY70" s="1315"/>
      <c r="HZ70" s="1315"/>
      <c r="IA70" s="1315"/>
      <c r="IB70" s="1315"/>
      <c r="IC70" s="1315"/>
      <c r="ID70" s="1315"/>
      <c r="IE70" s="1315"/>
      <c r="IF70" s="1315"/>
      <c r="IG70" s="1315"/>
      <c r="IH70" s="1315"/>
      <c r="II70" s="1315"/>
      <c r="IJ70" s="1315"/>
      <c r="IK70" s="1315"/>
      <c r="IL70" s="1315"/>
      <c r="IM70" s="1315"/>
      <c r="IN70" s="1315"/>
      <c r="IO70" s="1315"/>
      <c r="IP70" s="1315"/>
      <c r="IQ70" s="1315"/>
      <c r="IR70" s="1315"/>
      <c r="IS70" s="1315"/>
      <c r="IT70" s="1315"/>
      <c r="IU70" s="1315"/>
      <c r="IV70" s="1315"/>
      <c r="IW70" s="1315"/>
      <c r="IX70" s="1315"/>
      <c r="IY70" s="1315"/>
      <c r="IZ70" s="1315"/>
      <c r="JA70" s="1315"/>
      <c r="JB70" s="1315"/>
      <c r="JC70" s="1315"/>
      <c r="JD70" s="1315"/>
      <c r="JE70" s="1315"/>
      <c r="JF70" s="1315"/>
      <c r="JG70" s="1315"/>
      <c r="JH70" s="1315"/>
      <c r="JI70" s="1315"/>
      <c r="JJ70" s="1315"/>
      <c r="JK70" s="1315"/>
      <c r="JL70" s="1315"/>
      <c r="JM70" s="1315"/>
      <c r="JN70" s="1315"/>
      <c r="JO70" s="1315"/>
      <c r="JP70" s="1315"/>
      <c r="JQ70" s="1315"/>
      <c r="JR70" s="1315"/>
      <c r="JS70" s="1315"/>
      <c r="JT70" s="1315"/>
      <c r="JU70" s="1315"/>
      <c r="JV70" s="1315"/>
      <c r="JW70" s="1315"/>
      <c r="JX70" s="1315"/>
      <c r="JY70" s="1315"/>
      <c r="JZ70" s="1315"/>
      <c r="KA70" s="1315"/>
      <c r="KB70" s="1315"/>
      <c r="KC70" s="1315"/>
      <c r="KD70" s="1315"/>
      <c r="KE70" s="1315"/>
      <c r="KF70" s="1315"/>
      <c r="KG70" s="1315"/>
      <c r="KH70" s="1315"/>
      <c r="KI70" s="1315"/>
      <c r="KJ70" s="1315"/>
      <c r="KK70" s="1315"/>
      <c r="KL70" s="1315"/>
      <c r="KM70" s="1315"/>
      <c r="KN70" s="1315"/>
      <c r="KO70" s="1315"/>
      <c r="KP70" s="1315"/>
      <c r="KQ70" s="1315"/>
      <c r="KR70" s="1315"/>
      <c r="KS70" s="1315"/>
      <c r="KT70" s="1315"/>
      <c r="KU70" s="1315"/>
      <c r="KV70" s="1315"/>
    </row>
    <row r="71" spans="1:308" s="51" customFormat="1" ht="12" x14ac:dyDescent="0.2">
      <c r="A71" s="440" t="s">
        <v>113</v>
      </c>
      <c r="B71" s="1312">
        <v>3632</v>
      </c>
      <c r="C71" s="1313">
        <v>20000</v>
      </c>
      <c r="D71" s="1313">
        <f>ROUNDUP(C71*(D$65+1),0)</f>
        <v>20800</v>
      </c>
      <c r="E71" s="1313">
        <f t="shared" si="114"/>
        <v>21695</v>
      </c>
      <c r="F71" s="1313">
        <f t="shared" si="114"/>
        <v>22346</v>
      </c>
      <c r="G71" s="1313">
        <f t="shared" si="114"/>
        <v>23173</v>
      </c>
      <c r="H71" s="1313">
        <f t="shared" si="114"/>
        <v>24100</v>
      </c>
      <c r="I71" s="1313">
        <f t="shared" si="114"/>
        <v>25064</v>
      </c>
      <c r="J71" s="1314">
        <f t="shared" si="114"/>
        <v>26067</v>
      </c>
      <c r="K71" s="1314" t="e">
        <f t="shared" si="114"/>
        <v>#N/A</v>
      </c>
      <c r="L71" s="1314" t="e">
        <f t="shared" si="114"/>
        <v>#N/A</v>
      </c>
      <c r="M71" s="1314" t="e">
        <f t="shared" si="114"/>
        <v>#N/A</v>
      </c>
      <c r="N71" s="1314" t="e">
        <f t="shared" si="114"/>
        <v>#N/A</v>
      </c>
      <c r="O71" s="1314" t="e">
        <f t="shared" si="114"/>
        <v>#N/A</v>
      </c>
      <c r="P71" s="1314" t="e">
        <f t="shared" si="114"/>
        <v>#N/A</v>
      </c>
      <c r="Q71" s="1314" t="e">
        <f t="shared" si="114"/>
        <v>#N/A</v>
      </c>
      <c r="R71" s="1314" t="e">
        <f t="shared" si="114"/>
        <v>#N/A</v>
      </c>
      <c r="S71" s="1314" t="e">
        <f t="shared" si="114"/>
        <v>#N/A</v>
      </c>
      <c r="T71" s="1314" t="e">
        <f t="shared" si="114"/>
        <v>#N/A</v>
      </c>
      <c r="U71" s="1314" t="e">
        <f t="shared" si="114"/>
        <v>#N/A</v>
      </c>
      <c r="V71" s="1314" t="e">
        <f t="shared" si="114"/>
        <v>#N/A</v>
      </c>
      <c r="W71" s="1314" t="e">
        <f t="shared" si="114"/>
        <v>#N/A</v>
      </c>
      <c r="X71" s="1314" t="e">
        <f t="shared" si="114"/>
        <v>#N/A</v>
      </c>
      <c r="Y71" s="1314" t="e">
        <f t="shared" si="114"/>
        <v>#N/A</v>
      </c>
      <c r="Z71" s="1314" t="e">
        <f t="shared" si="115"/>
        <v>#N/A</v>
      </c>
      <c r="AA71" s="1314" t="e">
        <f t="shared" si="116"/>
        <v>#N/A</v>
      </c>
      <c r="AB71" s="1314" t="e">
        <f t="shared" si="117"/>
        <v>#N/A</v>
      </c>
      <c r="AC71" s="1314" t="e">
        <f t="shared" si="118"/>
        <v>#N/A</v>
      </c>
      <c r="AD71" s="1314" t="e">
        <f t="shared" si="119"/>
        <v>#N/A</v>
      </c>
      <c r="AE71" s="1314" t="e">
        <f t="shared" si="120"/>
        <v>#N/A</v>
      </c>
      <c r="AF71" s="1314" t="e">
        <f t="shared" si="121"/>
        <v>#N/A</v>
      </c>
      <c r="AG71" s="1314" t="e">
        <f t="shared" si="122"/>
        <v>#N/A</v>
      </c>
      <c r="AH71" s="1314" t="e">
        <f t="shared" si="123"/>
        <v>#N/A</v>
      </c>
      <c r="AI71" s="1314" t="e">
        <f t="shared" si="124"/>
        <v>#N/A</v>
      </c>
      <c r="AJ71" s="1314" t="e">
        <f t="shared" si="125"/>
        <v>#N/A</v>
      </c>
      <c r="AK71" s="1314" t="e">
        <f t="shared" si="126"/>
        <v>#N/A</v>
      </c>
      <c r="AL71" s="1314" t="e">
        <f t="shared" si="127"/>
        <v>#N/A</v>
      </c>
      <c r="AM71" s="1314" t="e">
        <f t="shared" si="128"/>
        <v>#N/A</v>
      </c>
      <c r="AN71" s="1314" t="e">
        <f t="shared" si="129"/>
        <v>#N/A</v>
      </c>
      <c r="AO71" s="1314" t="e">
        <f t="shared" si="130"/>
        <v>#N/A</v>
      </c>
      <c r="AP71" s="1314" t="e">
        <f t="shared" si="131"/>
        <v>#N/A</v>
      </c>
      <c r="AQ71" s="1314" t="e">
        <f t="shared" si="132"/>
        <v>#N/A</v>
      </c>
      <c r="AR71" s="1314" t="e">
        <f t="shared" si="133"/>
        <v>#N/A</v>
      </c>
      <c r="AS71" s="1314" t="e">
        <f t="shared" si="134"/>
        <v>#N/A</v>
      </c>
      <c r="AT71" s="1314" t="e">
        <f t="shared" si="135"/>
        <v>#N/A</v>
      </c>
      <c r="AU71" s="1314" t="e">
        <f t="shared" si="136"/>
        <v>#N/A</v>
      </c>
      <c r="AV71" s="1314" t="e">
        <f t="shared" si="137"/>
        <v>#N/A</v>
      </c>
      <c r="AW71" s="1314" t="e">
        <f t="shared" si="138"/>
        <v>#N/A</v>
      </c>
      <c r="AX71" s="1314" t="e">
        <f t="shared" si="139"/>
        <v>#N/A</v>
      </c>
      <c r="AY71" s="1314" t="e">
        <f t="shared" si="140"/>
        <v>#N/A</v>
      </c>
      <c r="AZ71" s="1314" t="e">
        <f t="shared" si="141"/>
        <v>#N/A</v>
      </c>
      <c r="BA71" s="1314" t="e">
        <f t="shared" si="142"/>
        <v>#N/A</v>
      </c>
      <c r="BB71" s="1314" t="e">
        <f t="shared" si="143"/>
        <v>#N/A</v>
      </c>
      <c r="BC71" s="1314" t="e">
        <f t="shared" si="144"/>
        <v>#N/A</v>
      </c>
      <c r="BD71" s="1314" t="e">
        <f t="shared" si="145"/>
        <v>#N/A</v>
      </c>
      <c r="BE71" s="1314" t="e">
        <f t="shared" si="146"/>
        <v>#N/A</v>
      </c>
      <c r="BF71" s="1314" t="e">
        <f t="shared" si="147"/>
        <v>#N/A</v>
      </c>
      <c r="BG71" s="1314" t="e">
        <f t="shared" si="148"/>
        <v>#N/A</v>
      </c>
      <c r="BH71" s="1314" t="e">
        <f t="shared" si="149"/>
        <v>#N/A</v>
      </c>
      <c r="BI71" s="1314" t="e">
        <f t="shared" si="150"/>
        <v>#N/A</v>
      </c>
      <c r="BJ71" s="1314" t="e">
        <f t="shared" si="151"/>
        <v>#N/A</v>
      </c>
      <c r="BK71" s="1314" t="e">
        <f t="shared" si="152"/>
        <v>#N/A</v>
      </c>
      <c r="BL71" s="1314" t="e">
        <f t="shared" si="153"/>
        <v>#N/A</v>
      </c>
      <c r="BM71" s="1314" t="e">
        <f t="shared" si="154"/>
        <v>#N/A</v>
      </c>
      <c r="BN71" s="1314" t="e">
        <f t="shared" si="155"/>
        <v>#N/A</v>
      </c>
      <c r="BO71" s="1314" t="e">
        <f t="shared" si="156"/>
        <v>#N/A</v>
      </c>
      <c r="BP71" s="1314" t="e">
        <f t="shared" si="157"/>
        <v>#N/A</v>
      </c>
      <c r="BQ71" s="1314" t="e">
        <f t="shared" si="158"/>
        <v>#N/A</v>
      </c>
      <c r="BR71" s="1314" t="e">
        <f t="shared" si="159"/>
        <v>#N/A</v>
      </c>
      <c r="BS71" s="1314" t="e">
        <f t="shared" si="160"/>
        <v>#N/A</v>
      </c>
      <c r="BT71" s="1314" t="e">
        <f t="shared" si="161"/>
        <v>#N/A</v>
      </c>
      <c r="BU71" s="1314" t="e">
        <f t="shared" si="162"/>
        <v>#N/A</v>
      </c>
      <c r="BV71" s="1314" t="e">
        <f t="shared" si="163"/>
        <v>#N/A</v>
      </c>
      <c r="BW71" s="1314" t="e">
        <f t="shared" si="164"/>
        <v>#N/A</v>
      </c>
      <c r="BX71" s="1314" t="e">
        <f t="shared" si="165"/>
        <v>#N/A</v>
      </c>
      <c r="BY71" s="1314" t="e">
        <f t="shared" si="166"/>
        <v>#N/A</v>
      </c>
      <c r="BZ71" s="1315"/>
      <c r="CA71" s="1315"/>
      <c r="CB71" s="1315"/>
      <c r="CC71" s="1315"/>
      <c r="CD71" s="1315"/>
      <c r="CE71" s="1315"/>
      <c r="CF71" s="1315"/>
      <c r="CG71" s="1315"/>
      <c r="CH71" s="1315"/>
      <c r="CI71" s="1315"/>
      <c r="CJ71" s="1315"/>
      <c r="CK71" s="1315"/>
      <c r="CL71" s="1315"/>
      <c r="CM71" s="1315"/>
      <c r="CN71" s="1315"/>
      <c r="CO71" s="1315"/>
      <c r="CP71" s="1315"/>
      <c r="CQ71" s="1315"/>
      <c r="CR71" s="1315"/>
      <c r="CS71" s="1315"/>
      <c r="CT71" s="1315"/>
      <c r="CU71" s="1315"/>
      <c r="CV71" s="1315"/>
      <c r="CW71" s="1315"/>
      <c r="CX71" s="1315"/>
      <c r="CY71" s="1315"/>
      <c r="CZ71" s="1315"/>
      <c r="DA71" s="1315"/>
      <c r="DB71" s="1315"/>
      <c r="DC71" s="1315"/>
      <c r="DD71" s="1315"/>
      <c r="DE71" s="1315"/>
      <c r="DF71" s="1315"/>
      <c r="DG71" s="1315"/>
      <c r="DH71" s="1315"/>
      <c r="DI71" s="1315"/>
      <c r="DJ71" s="1315"/>
      <c r="DK71" s="1315"/>
      <c r="DL71" s="1315"/>
      <c r="DM71" s="1315"/>
      <c r="DN71" s="1315"/>
      <c r="DO71" s="1315"/>
      <c r="DP71" s="1315"/>
      <c r="DQ71" s="1315"/>
      <c r="DR71" s="1315"/>
      <c r="DS71" s="1315"/>
      <c r="DT71" s="1315"/>
      <c r="DU71" s="1315"/>
      <c r="DV71" s="1315"/>
      <c r="DW71" s="1315"/>
      <c r="DX71" s="1315"/>
      <c r="DY71" s="1315"/>
      <c r="DZ71" s="1315"/>
      <c r="EA71" s="1315"/>
      <c r="EB71" s="1315"/>
      <c r="EC71" s="1315"/>
      <c r="ED71" s="1315"/>
      <c r="EE71" s="1315"/>
      <c r="EF71" s="1315"/>
      <c r="EG71" s="1315"/>
      <c r="EH71" s="1315"/>
      <c r="EI71" s="1315"/>
      <c r="EJ71" s="1315"/>
      <c r="EK71" s="1315"/>
      <c r="EL71" s="1315"/>
      <c r="EM71" s="1315"/>
      <c r="EN71" s="1315"/>
      <c r="EO71" s="1315"/>
      <c r="EP71" s="1315"/>
      <c r="EQ71" s="1315"/>
      <c r="ER71" s="1315"/>
      <c r="ES71" s="1315"/>
      <c r="ET71" s="1315"/>
      <c r="EU71" s="1315"/>
      <c r="EV71" s="1315"/>
      <c r="EW71" s="1315"/>
      <c r="EX71" s="1315"/>
      <c r="EY71" s="1315"/>
      <c r="EZ71" s="1315"/>
      <c r="FA71" s="1315"/>
      <c r="FB71" s="1315"/>
      <c r="FC71" s="1315"/>
      <c r="FD71" s="1315"/>
      <c r="FE71" s="1315"/>
      <c r="FF71" s="1315"/>
      <c r="FG71" s="1315"/>
      <c r="FH71" s="1315"/>
      <c r="FI71" s="1315"/>
      <c r="FJ71" s="1315"/>
      <c r="FK71" s="1315"/>
      <c r="FL71" s="1315"/>
      <c r="FM71" s="1315"/>
      <c r="FN71" s="1315"/>
      <c r="FO71" s="1315"/>
      <c r="FP71" s="1315"/>
      <c r="FQ71" s="1315"/>
      <c r="FR71" s="1315"/>
      <c r="FS71" s="1315"/>
      <c r="FT71" s="1315"/>
      <c r="FU71" s="1315"/>
      <c r="FV71" s="1315"/>
      <c r="FW71" s="1315"/>
      <c r="FX71" s="1315"/>
      <c r="FY71" s="1315"/>
      <c r="FZ71" s="1315"/>
      <c r="GA71" s="1315"/>
      <c r="GB71" s="1315"/>
      <c r="GC71" s="1315"/>
      <c r="GD71" s="1315"/>
      <c r="GE71" s="1315"/>
      <c r="GF71" s="1315"/>
      <c r="GG71" s="1315"/>
      <c r="GH71" s="1315"/>
      <c r="GI71" s="1315"/>
      <c r="GJ71" s="1315"/>
      <c r="GK71" s="1315"/>
      <c r="GL71" s="1315"/>
      <c r="GM71" s="1315"/>
      <c r="GN71" s="1315"/>
      <c r="GO71" s="1315"/>
      <c r="GP71" s="1315"/>
      <c r="GQ71" s="1315"/>
      <c r="GR71" s="1315"/>
      <c r="GS71" s="1315"/>
      <c r="GT71" s="1315"/>
      <c r="GU71" s="1315"/>
      <c r="GV71" s="1315"/>
      <c r="GW71" s="1315"/>
      <c r="GX71" s="1315"/>
      <c r="GY71" s="1315"/>
      <c r="GZ71" s="1315"/>
      <c r="HA71" s="1315"/>
      <c r="HB71" s="1315"/>
      <c r="HC71" s="1315"/>
      <c r="HD71" s="1315"/>
      <c r="HE71" s="1315"/>
      <c r="HF71" s="1315"/>
      <c r="HG71" s="1315"/>
      <c r="HH71" s="1315"/>
      <c r="HI71" s="1315"/>
      <c r="HJ71" s="1315"/>
      <c r="HK71" s="1315"/>
      <c r="HL71" s="1315"/>
      <c r="HM71" s="1315"/>
      <c r="HN71" s="1315"/>
      <c r="HO71" s="1315"/>
      <c r="HP71" s="1315"/>
      <c r="HQ71" s="1315"/>
      <c r="HR71" s="1315"/>
      <c r="HS71" s="1315"/>
      <c r="HT71" s="1315"/>
      <c r="HU71" s="1315"/>
      <c r="HV71" s="1315"/>
      <c r="HW71" s="1315"/>
      <c r="HX71" s="1315"/>
      <c r="HY71" s="1315"/>
      <c r="HZ71" s="1315"/>
      <c r="IA71" s="1315"/>
      <c r="IB71" s="1315"/>
      <c r="IC71" s="1315"/>
      <c r="ID71" s="1315"/>
      <c r="IE71" s="1315"/>
      <c r="IF71" s="1315"/>
      <c r="IG71" s="1315"/>
      <c r="IH71" s="1315"/>
      <c r="II71" s="1315"/>
      <c r="IJ71" s="1315"/>
      <c r="IK71" s="1315"/>
      <c r="IL71" s="1315"/>
      <c r="IM71" s="1315"/>
      <c r="IN71" s="1315"/>
      <c r="IO71" s="1315"/>
      <c r="IP71" s="1315"/>
      <c r="IQ71" s="1315"/>
      <c r="IR71" s="1315"/>
      <c r="IS71" s="1315"/>
      <c r="IT71" s="1315"/>
      <c r="IU71" s="1315"/>
      <c r="IV71" s="1315"/>
      <c r="IW71" s="1315"/>
      <c r="IX71" s="1315"/>
      <c r="IY71" s="1315"/>
      <c r="IZ71" s="1315"/>
      <c r="JA71" s="1315"/>
      <c r="JB71" s="1315"/>
      <c r="JC71" s="1315"/>
      <c r="JD71" s="1315"/>
      <c r="JE71" s="1315"/>
      <c r="JF71" s="1315"/>
      <c r="JG71" s="1315"/>
      <c r="JH71" s="1315"/>
      <c r="JI71" s="1315"/>
      <c r="JJ71" s="1315"/>
      <c r="JK71" s="1315"/>
      <c r="JL71" s="1315"/>
      <c r="JM71" s="1315"/>
      <c r="JN71" s="1315"/>
      <c r="JO71" s="1315"/>
      <c r="JP71" s="1315"/>
      <c r="JQ71" s="1315"/>
      <c r="JR71" s="1315"/>
      <c r="JS71" s="1315"/>
      <c r="JT71" s="1315"/>
      <c r="JU71" s="1315"/>
      <c r="JV71" s="1315"/>
      <c r="JW71" s="1315"/>
      <c r="JX71" s="1315"/>
      <c r="JY71" s="1315"/>
      <c r="JZ71" s="1315"/>
      <c r="KA71" s="1315"/>
      <c r="KB71" s="1315"/>
      <c r="KC71" s="1315"/>
      <c r="KD71" s="1315"/>
      <c r="KE71" s="1315"/>
      <c r="KF71" s="1315"/>
      <c r="KG71" s="1315"/>
      <c r="KH71" s="1315"/>
      <c r="KI71" s="1315"/>
      <c r="KJ71" s="1315"/>
      <c r="KK71" s="1315"/>
      <c r="KL71" s="1315"/>
      <c r="KM71" s="1315"/>
      <c r="KN71" s="1315"/>
      <c r="KO71" s="1315"/>
      <c r="KP71" s="1315"/>
      <c r="KQ71" s="1315"/>
      <c r="KR71" s="1315"/>
      <c r="KS71" s="1315"/>
      <c r="KT71" s="1315"/>
      <c r="KU71" s="1315"/>
      <c r="KV71" s="1315"/>
    </row>
    <row r="72" spans="1:308" s="51" customFormat="1" ht="12" x14ac:dyDescent="0.2">
      <c r="A72" s="440" t="s">
        <v>6</v>
      </c>
      <c r="B72" s="1312">
        <v>3232</v>
      </c>
      <c r="C72" s="1313">
        <v>13000</v>
      </c>
      <c r="D72" s="1313">
        <f>ROUNDUP(C72*(D$65+1),0)</f>
        <v>13520</v>
      </c>
      <c r="E72" s="1313">
        <f t="shared" si="114"/>
        <v>14102</v>
      </c>
      <c r="F72" s="1313">
        <f t="shared" si="114"/>
        <v>14526</v>
      </c>
      <c r="G72" s="1313">
        <f t="shared" si="114"/>
        <v>15064</v>
      </c>
      <c r="H72" s="1313">
        <f t="shared" si="114"/>
        <v>15667</v>
      </c>
      <c r="I72" s="1313">
        <f t="shared" si="114"/>
        <v>16294</v>
      </c>
      <c r="J72" s="1314">
        <f t="shared" si="114"/>
        <v>16946</v>
      </c>
      <c r="K72" s="1314" t="e">
        <f t="shared" si="114"/>
        <v>#N/A</v>
      </c>
      <c r="L72" s="1314" t="e">
        <f t="shared" si="114"/>
        <v>#N/A</v>
      </c>
      <c r="M72" s="1314" t="e">
        <f t="shared" si="114"/>
        <v>#N/A</v>
      </c>
      <c r="N72" s="1314" t="e">
        <f t="shared" si="114"/>
        <v>#N/A</v>
      </c>
      <c r="O72" s="1314" t="e">
        <f t="shared" si="114"/>
        <v>#N/A</v>
      </c>
      <c r="P72" s="1314" t="e">
        <f t="shared" si="114"/>
        <v>#N/A</v>
      </c>
      <c r="Q72" s="1314" t="e">
        <f t="shared" si="114"/>
        <v>#N/A</v>
      </c>
      <c r="R72" s="1314" t="e">
        <f t="shared" si="114"/>
        <v>#N/A</v>
      </c>
      <c r="S72" s="1314" t="e">
        <f t="shared" si="114"/>
        <v>#N/A</v>
      </c>
      <c r="T72" s="1314" t="e">
        <f t="shared" si="114"/>
        <v>#N/A</v>
      </c>
      <c r="U72" s="1314" t="e">
        <f t="shared" si="114"/>
        <v>#N/A</v>
      </c>
      <c r="V72" s="1314" t="e">
        <f t="shared" si="114"/>
        <v>#N/A</v>
      </c>
      <c r="W72" s="1314" t="e">
        <f t="shared" si="114"/>
        <v>#N/A</v>
      </c>
      <c r="X72" s="1314" t="e">
        <f t="shared" si="114"/>
        <v>#N/A</v>
      </c>
      <c r="Y72" s="1314" t="e">
        <f t="shared" si="114"/>
        <v>#N/A</v>
      </c>
      <c r="Z72" s="1314" t="e">
        <f t="shared" si="115"/>
        <v>#N/A</v>
      </c>
      <c r="AA72" s="1314" t="e">
        <f t="shared" si="116"/>
        <v>#N/A</v>
      </c>
      <c r="AB72" s="1314" t="e">
        <f t="shared" si="117"/>
        <v>#N/A</v>
      </c>
      <c r="AC72" s="1314" t="e">
        <f t="shared" si="118"/>
        <v>#N/A</v>
      </c>
      <c r="AD72" s="1314" t="e">
        <f t="shared" si="119"/>
        <v>#N/A</v>
      </c>
      <c r="AE72" s="1314" t="e">
        <f t="shared" si="120"/>
        <v>#N/A</v>
      </c>
      <c r="AF72" s="1314" t="e">
        <f t="shared" si="121"/>
        <v>#N/A</v>
      </c>
      <c r="AG72" s="1314" t="e">
        <f t="shared" si="122"/>
        <v>#N/A</v>
      </c>
      <c r="AH72" s="1314" t="e">
        <f t="shared" si="123"/>
        <v>#N/A</v>
      </c>
      <c r="AI72" s="1314" t="e">
        <f t="shared" si="124"/>
        <v>#N/A</v>
      </c>
      <c r="AJ72" s="1314" t="e">
        <f t="shared" si="125"/>
        <v>#N/A</v>
      </c>
      <c r="AK72" s="1314" t="e">
        <f t="shared" si="126"/>
        <v>#N/A</v>
      </c>
      <c r="AL72" s="1314" t="e">
        <f t="shared" si="127"/>
        <v>#N/A</v>
      </c>
      <c r="AM72" s="1314" t="e">
        <f t="shared" si="128"/>
        <v>#N/A</v>
      </c>
      <c r="AN72" s="1314" t="e">
        <f t="shared" si="129"/>
        <v>#N/A</v>
      </c>
      <c r="AO72" s="1314" t="e">
        <f t="shared" si="130"/>
        <v>#N/A</v>
      </c>
      <c r="AP72" s="1314" t="e">
        <f t="shared" si="131"/>
        <v>#N/A</v>
      </c>
      <c r="AQ72" s="1314" t="e">
        <f t="shared" si="132"/>
        <v>#N/A</v>
      </c>
      <c r="AR72" s="1314" t="e">
        <f t="shared" si="133"/>
        <v>#N/A</v>
      </c>
      <c r="AS72" s="1314" t="e">
        <f t="shared" si="134"/>
        <v>#N/A</v>
      </c>
      <c r="AT72" s="1314" t="e">
        <f t="shared" si="135"/>
        <v>#N/A</v>
      </c>
      <c r="AU72" s="1314" t="e">
        <f t="shared" si="136"/>
        <v>#N/A</v>
      </c>
      <c r="AV72" s="1314" t="e">
        <f t="shared" si="137"/>
        <v>#N/A</v>
      </c>
      <c r="AW72" s="1314" t="e">
        <f t="shared" si="138"/>
        <v>#N/A</v>
      </c>
      <c r="AX72" s="1314" t="e">
        <f t="shared" si="139"/>
        <v>#N/A</v>
      </c>
      <c r="AY72" s="1314" t="e">
        <f t="shared" si="140"/>
        <v>#N/A</v>
      </c>
      <c r="AZ72" s="1314" t="e">
        <f t="shared" si="141"/>
        <v>#N/A</v>
      </c>
      <c r="BA72" s="1314" t="e">
        <f t="shared" si="142"/>
        <v>#N/A</v>
      </c>
      <c r="BB72" s="1314" t="e">
        <f t="shared" si="143"/>
        <v>#N/A</v>
      </c>
      <c r="BC72" s="1314" t="e">
        <f t="shared" si="144"/>
        <v>#N/A</v>
      </c>
      <c r="BD72" s="1314" t="e">
        <f t="shared" si="145"/>
        <v>#N/A</v>
      </c>
      <c r="BE72" s="1314" t="e">
        <f t="shared" si="146"/>
        <v>#N/A</v>
      </c>
      <c r="BF72" s="1314" t="e">
        <f t="shared" si="147"/>
        <v>#N/A</v>
      </c>
      <c r="BG72" s="1314" t="e">
        <f t="shared" si="148"/>
        <v>#N/A</v>
      </c>
      <c r="BH72" s="1314" t="e">
        <f t="shared" si="149"/>
        <v>#N/A</v>
      </c>
      <c r="BI72" s="1314" t="e">
        <f t="shared" si="150"/>
        <v>#N/A</v>
      </c>
      <c r="BJ72" s="1314" t="e">
        <f t="shared" si="151"/>
        <v>#N/A</v>
      </c>
      <c r="BK72" s="1314" t="e">
        <f t="shared" si="152"/>
        <v>#N/A</v>
      </c>
      <c r="BL72" s="1314" t="e">
        <f t="shared" si="153"/>
        <v>#N/A</v>
      </c>
      <c r="BM72" s="1314" t="e">
        <f t="shared" si="154"/>
        <v>#N/A</v>
      </c>
      <c r="BN72" s="1314" t="e">
        <f t="shared" si="155"/>
        <v>#N/A</v>
      </c>
      <c r="BO72" s="1314" t="e">
        <f t="shared" si="156"/>
        <v>#N/A</v>
      </c>
      <c r="BP72" s="1314" t="e">
        <f t="shared" si="157"/>
        <v>#N/A</v>
      </c>
      <c r="BQ72" s="1314" t="e">
        <f t="shared" si="158"/>
        <v>#N/A</v>
      </c>
      <c r="BR72" s="1314" t="e">
        <f t="shared" si="159"/>
        <v>#N/A</v>
      </c>
      <c r="BS72" s="1314" t="e">
        <f t="shared" si="160"/>
        <v>#N/A</v>
      </c>
      <c r="BT72" s="1314" t="e">
        <f t="shared" si="161"/>
        <v>#N/A</v>
      </c>
      <c r="BU72" s="1314" t="e">
        <f t="shared" si="162"/>
        <v>#N/A</v>
      </c>
      <c r="BV72" s="1314" t="e">
        <f t="shared" si="163"/>
        <v>#N/A</v>
      </c>
      <c r="BW72" s="1314" t="e">
        <f t="shared" si="164"/>
        <v>#N/A</v>
      </c>
      <c r="BX72" s="1314" t="e">
        <f t="shared" si="165"/>
        <v>#N/A</v>
      </c>
      <c r="BY72" s="1314" t="e">
        <f t="shared" si="166"/>
        <v>#N/A</v>
      </c>
      <c r="BZ72" s="1315"/>
      <c r="CA72" s="1315"/>
      <c r="CB72" s="1315"/>
      <c r="CC72" s="1315"/>
      <c r="CD72" s="1315"/>
      <c r="CE72" s="1315"/>
      <c r="CF72" s="1315"/>
      <c r="CG72" s="1315"/>
      <c r="CH72" s="1315"/>
      <c r="CI72" s="1315"/>
      <c r="CJ72" s="1315"/>
      <c r="CK72" s="1315"/>
      <c r="CL72" s="1315"/>
      <c r="CM72" s="1315"/>
      <c r="CN72" s="1315"/>
      <c r="CO72" s="1315"/>
      <c r="CP72" s="1315"/>
      <c r="CQ72" s="1315"/>
      <c r="CR72" s="1315"/>
      <c r="CS72" s="1315"/>
      <c r="CT72" s="1315"/>
      <c r="CU72" s="1315"/>
      <c r="CV72" s="1315"/>
      <c r="CW72" s="1315"/>
      <c r="CX72" s="1315"/>
      <c r="CY72" s="1315"/>
      <c r="CZ72" s="1315"/>
      <c r="DA72" s="1315"/>
      <c r="DB72" s="1315"/>
      <c r="DC72" s="1315"/>
      <c r="DD72" s="1315"/>
      <c r="DE72" s="1315"/>
      <c r="DF72" s="1315"/>
      <c r="DG72" s="1315"/>
      <c r="DH72" s="1315"/>
      <c r="DI72" s="1315"/>
      <c r="DJ72" s="1315"/>
      <c r="DK72" s="1315"/>
      <c r="DL72" s="1315"/>
      <c r="DM72" s="1315"/>
      <c r="DN72" s="1315"/>
      <c r="DO72" s="1315"/>
      <c r="DP72" s="1315"/>
      <c r="DQ72" s="1315"/>
      <c r="DR72" s="1315"/>
      <c r="DS72" s="1315"/>
      <c r="DT72" s="1315"/>
      <c r="DU72" s="1315"/>
      <c r="DV72" s="1315"/>
      <c r="DW72" s="1315"/>
      <c r="DX72" s="1315"/>
      <c r="DY72" s="1315"/>
      <c r="DZ72" s="1315"/>
      <c r="EA72" s="1315"/>
      <c r="EB72" s="1315"/>
      <c r="EC72" s="1315"/>
      <c r="ED72" s="1315"/>
      <c r="EE72" s="1315"/>
      <c r="EF72" s="1315"/>
      <c r="EG72" s="1315"/>
      <c r="EH72" s="1315"/>
      <c r="EI72" s="1315"/>
      <c r="EJ72" s="1315"/>
      <c r="EK72" s="1315"/>
      <c r="EL72" s="1315"/>
      <c r="EM72" s="1315"/>
      <c r="EN72" s="1315"/>
      <c r="EO72" s="1315"/>
      <c r="EP72" s="1315"/>
      <c r="EQ72" s="1315"/>
      <c r="ER72" s="1315"/>
      <c r="ES72" s="1315"/>
      <c r="ET72" s="1315"/>
      <c r="EU72" s="1315"/>
      <c r="EV72" s="1315"/>
      <c r="EW72" s="1315"/>
      <c r="EX72" s="1315"/>
      <c r="EY72" s="1315"/>
      <c r="EZ72" s="1315"/>
      <c r="FA72" s="1315"/>
      <c r="FB72" s="1315"/>
      <c r="FC72" s="1315"/>
      <c r="FD72" s="1315"/>
      <c r="FE72" s="1315"/>
      <c r="FF72" s="1315"/>
      <c r="FG72" s="1315"/>
      <c r="FH72" s="1315"/>
      <c r="FI72" s="1315"/>
      <c r="FJ72" s="1315"/>
      <c r="FK72" s="1315"/>
      <c r="FL72" s="1315"/>
      <c r="FM72" s="1315"/>
      <c r="FN72" s="1315"/>
      <c r="FO72" s="1315"/>
      <c r="FP72" s="1315"/>
      <c r="FQ72" s="1315"/>
      <c r="FR72" s="1315"/>
      <c r="FS72" s="1315"/>
      <c r="FT72" s="1315"/>
      <c r="FU72" s="1315"/>
      <c r="FV72" s="1315"/>
      <c r="FW72" s="1315"/>
      <c r="FX72" s="1315"/>
      <c r="FY72" s="1315"/>
      <c r="FZ72" s="1315"/>
      <c r="GA72" s="1315"/>
      <c r="GB72" s="1315"/>
      <c r="GC72" s="1315"/>
      <c r="GD72" s="1315"/>
      <c r="GE72" s="1315"/>
      <c r="GF72" s="1315"/>
      <c r="GG72" s="1315"/>
      <c r="GH72" s="1315"/>
      <c r="GI72" s="1315"/>
      <c r="GJ72" s="1315"/>
      <c r="GK72" s="1315"/>
      <c r="GL72" s="1315"/>
      <c r="GM72" s="1315"/>
      <c r="GN72" s="1315"/>
      <c r="GO72" s="1315"/>
      <c r="GP72" s="1315"/>
      <c r="GQ72" s="1315"/>
      <c r="GR72" s="1315"/>
      <c r="GS72" s="1315"/>
      <c r="GT72" s="1315"/>
      <c r="GU72" s="1315"/>
      <c r="GV72" s="1315"/>
      <c r="GW72" s="1315"/>
      <c r="GX72" s="1315"/>
      <c r="GY72" s="1315"/>
      <c r="GZ72" s="1315"/>
      <c r="HA72" s="1315"/>
      <c r="HB72" s="1315"/>
      <c r="HC72" s="1315"/>
      <c r="HD72" s="1315"/>
      <c r="HE72" s="1315"/>
      <c r="HF72" s="1315"/>
      <c r="HG72" s="1315"/>
      <c r="HH72" s="1315"/>
      <c r="HI72" s="1315"/>
      <c r="HJ72" s="1315"/>
      <c r="HK72" s="1315"/>
      <c r="HL72" s="1315"/>
      <c r="HM72" s="1315"/>
      <c r="HN72" s="1315"/>
      <c r="HO72" s="1315"/>
      <c r="HP72" s="1315"/>
      <c r="HQ72" s="1315"/>
      <c r="HR72" s="1315"/>
      <c r="HS72" s="1315"/>
      <c r="HT72" s="1315"/>
      <c r="HU72" s="1315"/>
      <c r="HV72" s="1315"/>
      <c r="HW72" s="1315"/>
      <c r="HX72" s="1315"/>
      <c r="HY72" s="1315"/>
      <c r="HZ72" s="1315"/>
      <c r="IA72" s="1315"/>
      <c r="IB72" s="1315"/>
      <c r="IC72" s="1315"/>
      <c r="ID72" s="1315"/>
      <c r="IE72" s="1315"/>
      <c r="IF72" s="1315"/>
      <c r="IG72" s="1315"/>
      <c r="IH72" s="1315"/>
      <c r="II72" s="1315"/>
      <c r="IJ72" s="1315"/>
      <c r="IK72" s="1315"/>
      <c r="IL72" s="1315"/>
      <c r="IM72" s="1315"/>
      <c r="IN72" s="1315"/>
      <c r="IO72" s="1315"/>
      <c r="IP72" s="1315"/>
      <c r="IQ72" s="1315"/>
      <c r="IR72" s="1315"/>
      <c r="IS72" s="1315"/>
      <c r="IT72" s="1315"/>
      <c r="IU72" s="1315"/>
      <c r="IV72" s="1315"/>
      <c r="IW72" s="1315"/>
      <c r="IX72" s="1315"/>
      <c r="IY72" s="1315"/>
      <c r="IZ72" s="1315"/>
      <c r="JA72" s="1315"/>
      <c r="JB72" s="1315"/>
      <c r="JC72" s="1315"/>
      <c r="JD72" s="1315"/>
      <c r="JE72" s="1315"/>
      <c r="JF72" s="1315"/>
      <c r="JG72" s="1315"/>
      <c r="JH72" s="1315"/>
      <c r="JI72" s="1315"/>
      <c r="JJ72" s="1315"/>
      <c r="JK72" s="1315"/>
      <c r="JL72" s="1315"/>
      <c r="JM72" s="1315"/>
      <c r="JN72" s="1315"/>
      <c r="JO72" s="1315"/>
      <c r="JP72" s="1315"/>
      <c r="JQ72" s="1315"/>
      <c r="JR72" s="1315"/>
      <c r="JS72" s="1315"/>
      <c r="JT72" s="1315"/>
      <c r="JU72" s="1315"/>
      <c r="JV72" s="1315"/>
      <c r="JW72" s="1315"/>
      <c r="JX72" s="1315"/>
      <c r="JY72" s="1315"/>
      <c r="JZ72" s="1315"/>
      <c r="KA72" s="1315"/>
      <c r="KB72" s="1315"/>
      <c r="KC72" s="1315"/>
      <c r="KD72" s="1315"/>
      <c r="KE72" s="1315"/>
      <c r="KF72" s="1315"/>
      <c r="KG72" s="1315"/>
      <c r="KH72" s="1315"/>
      <c r="KI72" s="1315"/>
      <c r="KJ72" s="1315"/>
      <c r="KK72" s="1315"/>
      <c r="KL72" s="1315"/>
      <c r="KM72" s="1315"/>
      <c r="KN72" s="1315"/>
      <c r="KO72" s="1315"/>
      <c r="KP72" s="1315"/>
      <c r="KQ72" s="1315"/>
      <c r="KR72" s="1315"/>
      <c r="KS72" s="1315"/>
      <c r="KT72" s="1315"/>
      <c r="KU72" s="1315"/>
      <c r="KV72" s="1315"/>
    </row>
    <row r="73" spans="1:308" s="51" customFormat="1" ht="12" x14ac:dyDescent="0.2">
      <c r="A73" s="440" t="s">
        <v>18</v>
      </c>
      <c r="B73" s="1312">
        <v>3034</v>
      </c>
      <c r="C73" s="1313">
        <v>12000</v>
      </c>
      <c r="D73" s="1313">
        <f t="shared" si="113"/>
        <v>12480</v>
      </c>
      <c r="E73" s="1313">
        <f t="shared" ref="E73:Y73" si="167">ROUNDUP(D73*(E$65+1),0)</f>
        <v>13017</v>
      </c>
      <c r="F73" s="1313">
        <f t="shared" si="167"/>
        <v>13408</v>
      </c>
      <c r="G73" s="1313">
        <f t="shared" si="167"/>
        <v>13905</v>
      </c>
      <c r="H73" s="1313">
        <f t="shared" si="167"/>
        <v>14462</v>
      </c>
      <c r="I73" s="1313">
        <f t="shared" si="167"/>
        <v>15041</v>
      </c>
      <c r="J73" s="1314">
        <f t="shared" si="167"/>
        <v>15643</v>
      </c>
      <c r="K73" s="1314" t="e">
        <f t="shared" si="167"/>
        <v>#N/A</v>
      </c>
      <c r="L73" s="1314" t="e">
        <f t="shared" si="167"/>
        <v>#N/A</v>
      </c>
      <c r="M73" s="1314" t="e">
        <f t="shared" si="167"/>
        <v>#N/A</v>
      </c>
      <c r="N73" s="1314" t="e">
        <f t="shared" si="167"/>
        <v>#N/A</v>
      </c>
      <c r="O73" s="1314" t="e">
        <f t="shared" si="167"/>
        <v>#N/A</v>
      </c>
      <c r="P73" s="1314" t="e">
        <f t="shared" si="167"/>
        <v>#N/A</v>
      </c>
      <c r="Q73" s="1314" t="e">
        <f t="shared" si="167"/>
        <v>#N/A</v>
      </c>
      <c r="R73" s="1314" t="e">
        <f t="shared" si="167"/>
        <v>#N/A</v>
      </c>
      <c r="S73" s="1314" t="e">
        <f t="shared" si="167"/>
        <v>#N/A</v>
      </c>
      <c r="T73" s="1314" t="e">
        <f t="shared" si="167"/>
        <v>#N/A</v>
      </c>
      <c r="U73" s="1314" t="e">
        <f t="shared" si="167"/>
        <v>#N/A</v>
      </c>
      <c r="V73" s="1314" t="e">
        <f t="shared" si="167"/>
        <v>#N/A</v>
      </c>
      <c r="W73" s="1314" t="e">
        <f t="shared" si="167"/>
        <v>#N/A</v>
      </c>
      <c r="X73" s="1314" t="e">
        <f t="shared" si="167"/>
        <v>#N/A</v>
      </c>
      <c r="Y73" s="1314" t="e">
        <f t="shared" si="167"/>
        <v>#N/A</v>
      </c>
      <c r="Z73" s="1314" t="e">
        <f t="shared" si="115"/>
        <v>#N/A</v>
      </c>
      <c r="AA73" s="1314" t="e">
        <f t="shared" si="116"/>
        <v>#N/A</v>
      </c>
      <c r="AB73" s="1314" t="e">
        <f t="shared" si="117"/>
        <v>#N/A</v>
      </c>
      <c r="AC73" s="1314" t="e">
        <f t="shared" si="118"/>
        <v>#N/A</v>
      </c>
      <c r="AD73" s="1314" t="e">
        <f t="shared" si="119"/>
        <v>#N/A</v>
      </c>
      <c r="AE73" s="1314" t="e">
        <f t="shared" si="120"/>
        <v>#N/A</v>
      </c>
      <c r="AF73" s="1314" t="e">
        <f t="shared" si="121"/>
        <v>#N/A</v>
      </c>
      <c r="AG73" s="1314" t="e">
        <f t="shared" si="122"/>
        <v>#N/A</v>
      </c>
      <c r="AH73" s="1314" t="e">
        <f t="shared" si="123"/>
        <v>#N/A</v>
      </c>
      <c r="AI73" s="1314" t="e">
        <f t="shared" si="124"/>
        <v>#N/A</v>
      </c>
      <c r="AJ73" s="1314" t="e">
        <f t="shared" si="125"/>
        <v>#N/A</v>
      </c>
      <c r="AK73" s="1314" t="e">
        <f t="shared" si="126"/>
        <v>#N/A</v>
      </c>
      <c r="AL73" s="1314" t="e">
        <f t="shared" si="127"/>
        <v>#N/A</v>
      </c>
      <c r="AM73" s="1314" t="e">
        <f t="shared" si="128"/>
        <v>#N/A</v>
      </c>
      <c r="AN73" s="1314" t="e">
        <f t="shared" si="129"/>
        <v>#N/A</v>
      </c>
      <c r="AO73" s="1314" t="e">
        <f t="shared" si="130"/>
        <v>#N/A</v>
      </c>
      <c r="AP73" s="1314" t="e">
        <f t="shared" si="131"/>
        <v>#N/A</v>
      </c>
      <c r="AQ73" s="1314" t="e">
        <f t="shared" si="132"/>
        <v>#N/A</v>
      </c>
      <c r="AR73" s="1314" t="e">
        <f t="shared" si="133"/>
        <v>#N/A</v>
      </c>
      <c r="AS73" s="1314" t="e">
        <f t="shared" si="134"/>
        <v>#N/A</v>
      </c>
      <c r="AT73" s="1314" t="e">
        <f t="shared" si="135"/>
        <v>#N/A</v>
      </c>
      <c r="AU73" s="1314" t="e">
        <f t="shared" si="136"/>
        <v>#N/A</v>
      </c>
      <c r="AV73" s="1314" t="e">
        <f t="shared" si="137"/>
        <v>#N/A</v>
      </c>
      <c r="AW73" s="1314" t="e">
        <f t="shared" si="138"/>
        <v>#N/A</v>
      </c>
      <c r="AX73" s="1314" t="e">
        <f t="shared" si="139"/>
        <v>#N/A</v>
      </c>
      <c r="AY73" s="1314" t="e">
        <f t="shared" si="140"/>
        <v>#N/A</v>
      </c>
      <c r="AZ73" s="1314" t="e">
        <f t="shared" si="141"/>
        <v>#N/A</v>
      </c>
      <c r="BA73" s="1314" t="e">
        <f t="shared" si="142"/>
        <v>#N/A</v>
      </c>
      <c r="BB73" s="1314" t="e">
        <f t="shared" si="143"/>
        <v>#N/A</v>
      </c>
      <c r="BC73" s="1314" t="e">
        <f t="shared" si="144"/>
        <v>#N/A</v>
      </c>
      <c r="BD73" s="1314" t="e">
        <f t="shared" si="145"/>
        <v>#N/A</v>
      </c>
      <c r="BE73" s="1314" t="e">
        <f t="shared" si="146"/>
        <v>#N/A</v>
      </c>
      <c r="BF73" s="1314" t="e">
        <f t="shared" si="147"/>
        <v>#N/A</v>
      </c>
      <c r="BG73" s="1314" t="e">
        <f t="shared" si="148"/>
        <v>#N/A</v>
      </c>
      <c r="BH73" s="1314" t="e">
        <f t="shared" si="149"/>
        <v>#N/A</v>
      </c>
      <c r="BI73" s="1314" t="e">
        <f t="shared" si="150"/>
        <v>#N/A</v>
      </c>
      <c r="BJ73" s="1314" t="e">
        <f t="shared" si="151"/>
        <v>#N/A</v>
      </c>
      <c r="BK73" s="1314" t="e">
        <f t="shared" si="152"/>
        <v>#N/A</v>
      </c>
      <c r="BL73" s="1314" t="e">
        <f t="shared" si="153"/>
        <v>#N/A</v>
      </c>
      <c r="BM73" s="1314" t="e">
        <f t="shared" si="154"/>
        <v>#N/A</v>
      </c>
      <c r="BN73" s="1314" t="e">
        <f t="shared" si="155"/>
        <v>#N/A</v>
      </c>
      <c r="BO73" s="1314" t="e">
        <f t="shared" si="156"/>
        <v>#N/A</v>
      </c>
      <c r="BP73" s="1314" t="e">
        <f t="shared" si="157"/>
        <v>#N/A</v>
      </c>
      <c r="BQ73" s="1314" t="e">
        <f t="shared" si="158"/>
        <v>#N/A</v>
      </c>
      <c r="BR73" s="1314" t="e">
        <f t="shared" si="159"/>
        <v>#N/A</v>
      </c>
      <c r="BS73" s="1314" t="e">
        <f t="shared" si="160"/>
        <v>#N/A</v>
      </c>
      <c r="BT73" s="1314" t="e">
        <f t="shared" si="161"/>
        <v>#N/A</v>
      </c>
      <c r="BU73" s="1314" t="e">
        <f t="shared" si="162"/>
        <v>#N/A</v>
      </c>
      <c r="BV73" s="1314" t="e">
        <f t="shared" si="163"/>
        <v>#N/A</v>
      </c>
      <c r="BW73" s="1314" t="e">
        <f t="shared" si="164"/>
        <v>#N/A</v>
      </c>
      <c r="BX73" s="1314" t="e">
        <f t="shared" si="165"/>
        <v>#N/A</v>
      </c>
      <c r="BY73" s="1314" t="e">
        <f t="shared" si="166"/>
        <v>#N/A</v>
      </c>
      <c r="BZ73" s="1315"/>
      <c r="CA73" s="1315"/>
      <c r="CB73" s="1315"/>
      <c r="CC73" s="1315"/>
      <c r="CD73" s="1315"/>
      <c r="CE73" s="1315"/>
      <c r="CF73" s="1315"/>
      <c r="CG73" s="1315"/>
      <c r="CH73" s="1315"/>
      <c r="CI73" s="1315"/>
      <c r="CJ73" s="1315"/>
      <c r="CK73" s="1315"/>
      <c r="CL73" s="1315"/>
      <c r="CM73" s="1315"/>
      <c r="CN73" s="1315"/>
      <c r="CO73" s="1315"/>
      <c r="CP73" s="1315"/>
      <c r="CQ73" s="1315"/>
      <c r="CR73" s="1315"/>
      <c r="CS73" s="1315"/>
      <c r="CT73" s="1315"/>
      <c r="CU73" s="1315"/>
      <c r="CV73" s="1315"/>
      <c r="CW73" s="1315"/>
      <c r="CX73" s="1315"/>
      <c r="CY73" s="1315"/>
      <c r="CZ73" s="1315"/>
      <c r="DA73" s="1315"/>
      <c r="DB73" s="1315"/>
      <c r="DC73" s="1315"/>
      <c r="DD73" s="1315"/>
      <c r="DE73" s="1315"/>
      <c r="DF73" s="1315"/>
      <c r="DG73" s="1315"/>
      <c r="DH73" s="1315"/>
      <c r="DI73" s="1315"/>
      <c r="DJ73" s="1315"/>
      <c r="DK73" s="1315"/>
      <c r="DL73" s="1315"/>
      <c r="DM73" s="1315"/>
      <c r="DN73" s="1315"/>
      <c r="DO73" s="1315"/>
      <c r="DP73" s="1315"/>
      <c r="DQ73" s="1315"/>
      <c r="DR73" s="1315"/>
      <c r="DS73" s="1315"/>
      <c r="DT73" s="1315"/>
      <c r="DU73" s="1315"/>
      <c r="DV73" s="1315"/>
      <c r="DW73" s="1315"/>
      <c r="DX73" s="1315"/>
      <c r="DY73" s="1315"/>
      <c r="DZ73" s="1315"/>
      <c r="EA73" s="1315"/>
      <c r="EB73" s="1315"/>
      <c r="EC73" s="1315"/>
      <c r="ED73" s="1315"/>
      <c r="EE73" s="1315"/>
      <c r="EF73" s="1315"/>
      <c r="EG73" s="1315"/>
      <c r="EH73" s="1315"/>
      <c r="EI73" s="1315"/>
      <c r="EJ73" s="1315"/>
      <c r="EK73" s="1315"/>
      <c r="EL73" s="1315"/>
      <c r="EM73" s="1315"/>
      <c r="EN73" s="1315"/>
      <c r="EO73" s="1315"/>
      <c r="EP73" s="1315"/>
      <c r="EQ73" s="1315"/>
      <c r="ER73" s="1315"/>
      <c r="ES73" s="1315"/>
      <c r="ET73" s="1315"/>
      <c r="EU73" s="1315"/>
      <c r="EV73" s="1315"/>
      <c r="EW73" s="1315"/>
      <c r="EX73" s="1315"/>
      <c r="EY73" s="1315"/>
      <c r="EZ73" s="1315"/>
      <c r="FA73" s="1315"/>
      <c r="FB73" s="1315"/>
      <c r="FC73" s="1315"/>
      <c r="FD73" s="1315"/>
      <c r="FE73" s="1315"/>
      <c r="FF73" s="1315"/>
      <c r="FG73" s="1315"/>
      <c r="FH73" s="1315"/>
      <c r="FI73" s="1315"/>
      <c r="FJ73" s="1315"/>
      <c r="FK73" s="1315"/>
      <c r="FL73" s="1315"/>
      <c r="FM73" s="1315"/>
      <c r="FN73" s="1315"/>
      <c r="FO73" s="1315"/>
      <c r="FP73" s="1315"/>
      <c r="FQ73" s="1315"/>
      <c r="FR73" s="1315"/>
      <c r="FS73" s="1315"/>
      <c r="FT73" s="1315"/>
      <c r="FU73" s="1315"/>
      <c r="FV73" s="1315"/>
      <c r="FW73" s="1315"/>
      <c r="FX73" s="1315"/>
      <c r="FY73" s="1315"/>
      <c r="FZ73" s="1315"/>
      <c r="GA73" s="1315"/>
      <c r="GB73" s="1315"/>
      <c r="GC73" s="1315"/>
      <c r="GD73" s="1315"/>
      <c r="GE73" s="1315"/>
      <c r="GF73" s="1315"/>
      <c r="GG73" s="1315"/>
      <c r="GH73" s="1315"/>
      <c r="GI73" s="1315"/>
      <c r="GJ73" s="1315"/>
      <c r="GK73" s="1315"/>
      <c r="GL73" s="1315"/>
      <c r="GM73" s="1315"/>
      <c r="GN73" s="1315"/>
      <c r="GO73" s="1315"/>
      <c r="GP73" s="1315"/>
      <c r="GQ73" s="1315"/>
      <c r="GR73" s="1315"/>
      <c r="GS73" s="1315"/>
      <c r="GT73" s="1315"/>
      <c r="GU73" s="1315"/>
      <c r="GV73" s="1315"/>
      <c r="GW73" s="1315"/>
      <c r="GX73" s="1315"/>
      <c r="GY73" s="1315"/>
      <c r="GZ73" s="1315"/>
      <c r="HA73" s="1315"/>
      <c r="HB73" s="1315"/>
      <c r="HC73" s="1315"/>
      <c r="HD73" s="1315"/>
      <c r="HE73" s="1315"/>
      <c r="HF73" s="1315"/>
      <c r="HG73" s="1315"/>
      <c r="HH73" s="1315"/>
      <c r="HI73" s="1315"/>
      <c r="HJ73" s="1315"/>
      <c r="HK73" s="1315"/>
      <c r="HL73" s="1315"/>
      <c r="HM73" s="1315"/>
      <c r="HN73" s="1315"/>
      <c r="HO73" s="1315"/>
      <c r="HP73" s="1315"/>
      <c r="HQ73" s="1315"/>
      <c r="HR73" s="1315"/>
      <c r="HS73" s="1315"/>
      <c r="HT73" s="1315"/>
      <c r="HU73" s="1315"/>
      <c r="HV73" s="1315"/>
      <c r="HW73" s="1315"/>
      <c r="HX73" s="1315"/>
      <c r="HY73" s="1315"/>
      <c r="HZ73" s="1315"/>
      <c r="IA73" s="1315"/>
      <c r="IB73" s="1315"/>
      <c r="IC73" s="1315"/>
      <c r="ID73" s="1315"/>
      <c r="IE73" s="1315"/>
      <c r="IF73" s="1315"/>
      <c r="IG73" s="1315"/>
      <c r="IH73" s="1315"/>
      <c r="II73" s="1315"/>
      <c r="IJ73" s="1315"/>
      <c r="IK73" s="1315"/>
      <c r="IL73" s="1315"/>
      <c r="IM73" s="1315"/>
      <c r="IN73" s="1315"/>
      <c r="IO73" s="1315"/>
      <c r="IP73" s="1315"/>
      <c r="IQ73" s="1315"/>
      <c r="IR73" s="1315"/>
      <c r="IS73" s="1315"/>
      <c r="IT73" s="1315"/>
      <c r="IU73" s="1315"/>
      <c r="IV73" s="1315"/>
      <c r="IW73" s="1315"/>
      <c r="IX73" s="1315"/>
      <c r="IY73" s="1315"/>
      <c r="IZ73" s="1315"/>
      <c r="JA73" s="1315"/>
      <c r="JB73" s="1315"/>
      <c r="JC73" s="1315"/>
      <c r="JD73" s="1315"/>
      <c r="JE73" s="1315"/>
      <c r="JF73" s="1315"/>
      <c r="JG73" s="1315"/>
      <c r="JH73" s="1315"/>
      <c r="JI73" s="1315"/>
      <c r="JJ73" s="1315"/>
      <c r="JK73" s="1315"/>
      <c r="JL73" s="1315"/>
      <c r="JM73" s="1315"/>
      <c r="JN73" s="1315"/>
      <c r="JO73" s="1315"/>
      <c r="JP73" s="1315"/>
      <c r="JQ73" s="1315"/>
      <c r="JR73" s="1315"/>
      <c r="JS73" s="1315"/>
      <c r="JT73" s="1315"/>
      <c r="JU73" s="1315"/>
      <c r="JV73" s="1315"/>
      <c r="JW73" s="1315"/>
      <c r="JX73" s="1315"/>
      <c r="JY73" s="1315"/>
      <c r="JZ73" s="1315"/>
      <c r="KA73" s="1315"/>
      <c r="KB73" s="1315"/>
      <c r="KC73" s="1315"/>
      <c r="KD73" s="1315"/>
      <c r="KE73" s="1315"/>
      <c r="KF73" s="1315"/>
      <c r="KG73" s="1315"/>
      <c r="KH73" s="1315"/>
      <c r="KI73" s="1315"/>
      <c r="KJ73" s="1315"/>
      <c r="KK73" s="1315"/>
      <c r="KL73" s="1315"/>
      <c r="KM73" s="1315"/>
      <c r="KN73" s="1315"/>
      <c r="KO73" s="1315"/>
      <c r="KP73" s="1315"/>
      <c r="KQ73" s="1315"/>
      <c r="KR73" s="1315"/>
      <c r="KS73" s="1315"/>
      <c r="KT73" s="1315"/>
      <c r="KU73" s="1315"/>
      <c r="KV73" s="1315"/>
    </row>
    <row r="74" spans="1:308" s="51" customFormat="1" ht="12" x14ac:dyDescent="0.2">
      <c r="A74" s="440" t="s">
        <v>19</v>
      </c>
      <c r="B74" s="1312">
        <v>2833</v>
      </c>
      <c r="C74" s="1313">
        <v>11500</v>
      </c>
      <c r="D74" s="1313">
        <f t="shared" si="113"/>
        <v>11960</v>
      </c>
      <c r="E74" s="1313">
        <f t="shared" ref="E74:Y74" si="168">ROUNDUP(D74*(E$65+1),0)</f>
        <v>12475</v>
      </c>
      <c r="F74" s="1313">
        <f t="shared" si="168"/>
        <v>12850</v>
      </c>
      <c r="G74" s="1313">
        <f t="shared" si="168"/>
        <v>13326</v>
      </c>
      <c r="H74" s="1313">
        <f t="shared" si="168"/>
        <v>13860</v>
      </c>
      <c r="I74" s="1313">
        <f t="shared" si="168"/>
        <v>14415</v>
      </c>
      <c r="J74" s="1314">
        <f t="shared" si="168"/>
        <v>14992</v>
      </c>
      <c r="K74" s="1314" t="e">
        <f t="shared" si="168"/>
        <v>#N/A</v>
      </c>
      <c r="L74" s="1314" t="e">
        <f t="shared" si="168"/>
        <v>#N/A</v>
      </c>
      <c r="M74" s="1314" t="e">
        <f t="shared" si="168"/>
        <v>#N/A</v>
      </c>
      <c r="N74" s="1314" t="e">
        <f t="shared" si="168"/>
        <v>#N/A</v>
      </c>
      <c r="O74" s="1314" t="e">
        <f t="shared" si="168"/>
        <v>#N/A</v>
      </c>
      <c r="P74" s="1314" t="e">
        <f t="shared" si="168"/>
        <v>#N/A</v>
      </c>
      <c r="Q74" s="1314" t="e">
        <f t="shared" si="168"/>
        <v>#N/A</v>
      </c>
      <c r="R74" s="1314" t="e">
        <f t="shared" si="168"/>
        <v>#N/A</v>
      </c>
      <c r="S74" s="1314" t="e">
        <f t="shared" si="168"/>
        <v>#N/A</v>
      </c>
      <c r="T74" s="1314" t="e">
        <f t="shared" si="168"/>
        <v>#N/A</v>
      </c>
      <c r="U74" s="1314" t="e">
        <f t="shared" si="168"/>
        <v>#N/A</v>
      </c>
      <c r="V74" s="1314" t="e">
        <f t="shared" si="168"/>
        <v>#N/A</v>
      </c>
      <c r="W74" s="1314" t="e">
        <f t="shared" si="168"/>
        <v>#N/A</v>
      </c>
      <c r="X74" s="1314" t="e">
        <f t="shared" si="168"/>
        <v>#N/A</v>
      </c>
      <c r="Y74" s="1314" t="e">
        <f t="shared" si="168"/>
        <v>#N/A</v>
      </c>
      <c r="Z74" s="1314" t="e">
        <f t="shared" si="115"/>
        <v>#N/A</v>
      </c>
      <c r="AA74" s="1314" t="e">
        <f t="shared" si="116"/>
        <v>#N/A</v>
      </c>
      <c r="AB74" s="1314" t="e">
        <f t="shared" si="117"/>
        <v>#N/A</v>
      </c>
      <c r="AC74" s="1314" t="e">
        <f t="shared" si="118"/>
        <v>#N/A</v>
      </c>
      <c r="AD74" s="1314" t="e">
        <f t="shared" si="119"/>
        <v>#N/A</v>
      </c>
      <c r="AE74" s="1314" t="e">
        <f t="shared" si="120"/>
        <v>#N/A</v>
      </c>
      <c r="AF74" s="1314" t="e">
        <f t="shared" si="121"/>
        <v>#N/A</v>
      </c>
      <c r="AG74" s="1314" t="e">
        <f t="shared" si="122"/>
        <v>#N/A</v>
      </c>
      <c r="AH74" s="1314" t="e">
        <f t="shared" si="123"/>
        <v>#N/A</v>
      </c>
      <c r="AI74" s="1314" t="e">
        <f t="shared" si="124"/>
        <v>#N/A</v>
      </c>
      <c r="AJ74" s="1314" t="e">
        <f t="shared" si="125"/>
        <v>#N/A</v>
      </c>
      <c r="AK74" s="1314" t="e">
        <f t="shared" si="126"/>
        <v>#N/A</v>
      </c>
      <c r="AL74" s="1314" t="e">
        <f t="shared" si="127"/>
        <v>#N/A</v>
      </c>
      <c r="AM74" s="1314" t="e">
        <f t="shared" si="128"/>
        <v>#N/A</v>
      </c>
      <c r="AN74" s="1314" t="e">
        <f t="shared" si="129"/>
        <v>#N/A</v>
      </c>
      <c r="AO74" s="1314" t="e">
        <f t="shared" si="130"/>
        <v>#N/A</v>
      </c>
      <c r="AP74" s="1314" t="e">
        <f t="shared" si="131"/>
        <v>#N/A</v>
      </c>
      <c r="AQ74" s="1314" t="e">
        <f t="shared" si="132"/>
        <v>#N/A</v>
      </c>
      <c r="AR74" s="1314" t="e">
        <f t="shared" si="133"/>
        <v>#N/A</v>
      </c>
      <c r="AS74" s="1314" t="e">
        <f t="shared" si="134"/>
        <v>#N/A</v>
      </c>
      <c r="AT74" s="1314" t="e">
        <f t="shared" si="135"/>
        <v>#N/A</v>
      </c>
      <c r="AU74" s="1314" t="e">
        <f t="shared" si="136"/>
        <v>#N/A</v>
      </c>
      <c r="AV74" s="1314" t="e">
        <f t="shared" si="137"/>
        <v>#N/A</v>
      </c>
      <c r="AW74" s="1314" t="e">
        <f t="shared" si="138"/>
        <v>#N/A</v>
      </c>
      <c r="AX74" s="1314" t="e">
        <f t="shared" si="139"/>
        <v>#N/A</v>
      </c>
      <c r="AY74" s="1314" t="e">
        <f t="shared" si="140"/>
        <v>#N/A</v>
      </c>
      <c r="AZ74" s="1314" t="e">
        <f t="shared" si="141"/>
        <v>#N/A</v>
      </c>
      <c r="BA74" s="1314" t="e">
        <f t="shared" si="142"/>
        <v>#N/A</v>
      </c>
      <c r="BB74" s="1314" t="e">
        <f t="shared" si="143"/>
        <v>#N/A</v>
      </c>
      <c r="BC74" s="1314" t="e">
        <f t="shared" si="144"/>
        <v>#N/A</v>
      </c>
      <c r="BD74" s="1314" t="e">
        <f t="shared" si="145"/>
        <v>#N/A</v>
      </c>
      <c r="BE74" s="1314" t="e">
        <f t="shared" si="146"/>
        <v>#N/A</v>
      </c>
      <c r="BF74" s="1314" t="e">
        <f t="shared" si="147"/>
        <v>#N/A</v>
      </c>
      <c r="BG74" s="1314" t="e">
        <f t="shared" si="148"/>
        <v>#N/A</v>
      </c>
      <c r="BH74" s="1314" t="e">
        <f t="shared" si="149"/>
        <v>#N/A</v>
      </c>
      <c r="BI74" s="1314" t="e">
        <f t="shared" si="150"/>
        <v>#N/A</v>
      </c>
      <c r="BJ74" s="1314" t="e">
        <f t="shared" si="151"/>
        <v>#N/A</v>
      </c>
      <c r="BK74" s="1314" t="e">
        <f t="shared" si="152"/>
        <v>#N/A</v>
      </c>
      <c r="BL74" s="1314" t="e">
        <f t="shared" si="153"/>
        <v>#N/A</v>
      </c>
      <c r="BM74" s="1314" t="e">
        <f t="shared" si="154"/>
        <v>#N/A</v>
      </c>
      <c r="BN74" s="1314" t="e">
        <f t="shared" si="155"/>
        <v>#N/A</v>
      </c>
      <c r="BO74" s="1314" t="e">
        <f t="shared" si="156"/>
        <v>#N/A</v>
      </c>
      <c r="BP74" s="1314" t="e">
        <f t="shared" si="157"/>
        <v>#N/A</v>
      </c>
      <c r="BQ74" s="1314" t="e">
        <f t="shared" si="158"/>
        <v>#N/A</v>
      </c>
      <c r="BR74" s="1314" t="e">
        <f t="shared" si="159"/>
        <v>#N/A</v>
      </c>
      <c r="BS74" s="1314" t="e">
        <f t="shared" si="160"/>
        <v>#N/A</v>
      </c>
      <c r="BT74" s="1314" t="e">
        <f t="shared" si="161"/>
        <v>#N/A</v>
      </c>
      <c r="BU74" s="1314" t="e">
        <f t="shared" si="162"/>
        <v>#N/A</v>
      </c>
      <c r="BV74" s="1314" t="e">
        <f t="shared" si="163"/>
        <v>#N/A</v>
      </c>
      <c r="BW74" s="1314" t="e">
        <f t="shared" si="164"/>
        <v>#N/A</v>
      </c>
      <c r="BX74" s="1314" t="e">
        <f t="shared" si="165"/>
        <v>#N/A</v>
      </c>
      <c r="BY74" s="1314" t="e">
        <f t="shared" si="166"/>
        <v>#N/A</v>
      </c>
      <c r="BZ74" s="1315"/>
      <c r="CA74" s="1315"/>
      <c r="CB74" s="1315"/>
      <c r="CC74" s="1315"/>
      <c r="CD74" s="1315"/>
      <c r="CE74" s="1315"/>
      <c r="CF74" s="1315"/>
      <c r="CG74" s="1315"/>
      <c r="CH74" s="1315"/>
      <c r="CI74" s="1315"/>
      <c r="CJ74" s="1315"/>
      <c r="CK74" s="1315"/>
      <c r="CL74" s="1315"/>
      <c r="CM74" s="1315"/>
      <c r="CN74" s="1315"/>
      <c r="CO74" s="1315"/>
      <c r="CP74" s="1315"/>
      <c r="CQ74" s="1315"/>
      <c r="CR74" s="1315"/>
      <c r="CS74" s="1315"/>
      <c r="CT74" s="1315"/>
      <c r="CU74" s="1315"/>
      <c r="CV74" s="1315"/>
      <c r="CW74" s="1315"/>
      <c r="CX74" s="1315"/>
      <c r="CY74" s="1315"/>
      <c r="CZ74" s="1315"/>
      <c r="DA74" s="1315"/>
      <c r="DB74" s="1315"/>
      <c r="DC74" s="1315"/>
      <c r="DD74" s="1315"/>
      <c r="DE74" s="1315"/>
      <c r="DF74" s="1315"/>
      <c r="DG74" s="1315"/>
      <c r="DH74" s="1315"/>
      <c r="DI74" s="1315"/>
      <c r="DJ74" s="1315"/>
      <c r="DK74" s="1315"/>
      <c r="DL74" s="1315"/>
      <c r="DM74" s="1315"/>
      <c r="DN74" s="1315"/>
      <c r="DO74" s="1315"/>
      <c r="DP74" s="1315"/>
      <c r="DQ74" s="1315"/>
      <c r="DR74" s="1315"/>
      <c r="DS74" s="1315"/>
      <c r="DT74" s="1315"/>
      <c r="DU74" s="1315"/>
      <c r="DV74" s="1315"/>
      <c r="DW74" s="1315"/>
      <c r="DX74" s="1315"/>
      <c r="DY74" s="1315"/>
      <c r="DZ74" s="1315"/>
      <c r="EA74" s="1315"/>
      <c r="EB74" s="1315"/>
      <c r="EC74" s="1315"/>
      <c r="ED74" s="1315"/>
      <c r="EE74" s="1315"/>
      <c r="EF74" s="1315"/>
      <c r="EG74" s="1315"/>
      <c r="EH74" s="1315"/>
      <c r="EI74" s="1315"/>
      <c r="EJ74" s="1315"/>
      <c r="EK74" s="1315"/>
      <c r="EL74" s="1315"/>
      <c r="EM74" s="1315"/>
      <c r="EN74" s="1315"/>
      <c r="EO74" s="1315"/>
      <c r="EP74" s="1315"/>
      <c r="EQ74" s="1315"/>
      <c r="ER74" s="1315"/>
      <c r="ES74" s="1315"/>
      <c r="ET74" s="1315"/>
      <c r="EU74" s="1315"/>
      <c r="EV74" s="1315"/>
      <c r="EW74" s="1315"/>
      <c r="EX74" s="1315"/>
      <c r="EY74" s="1315"/>
      <c r="EZ74" s="1315"/>
      <c r="FA74" s="1315"/>
      <c r="FB74" s="1315"/>
      <c r="FC74" s="1315"/>
      <c r="FD74" s="1315"/>
      <c r="FE74" s="1315"/>
      <c r="FF74" s="1315"/>
      <c r="FG74" s="1315"/>
      <c r="FH74" s="1315"/>
      <c r="FI74" s="1315"/>
      <c r="FJ74" s="1315"/>
      <c r="FK74" s="1315"/>
      <c r="FL74" s="1315"/>
      <c r="FM74" s="1315"/>
      <c r="FN74" s="1315"/>
      <c r="FO74" s="1315"/>
      <c r="FP74" s="1315"/>
      <c r="FQ74" s="1315"/>
      <c r="FR74" s="1315"/>
      <c r="FS74" s="1315"/>
      <c r="FT74" s="1315"/>
      <c r="FU74" s="1315"/>
      <c r="FV74" s="1315"/>
      <c r="FW74" s="1315"/>
      <c r="FX74" s="1315"/>
      <c r="FY74" s="1315"/>
      <c r="FZ74" s="1315"/>
      <c r="GA74" s="1315"/>
      <c r="GB74" s="1315"/>
      <c r="GC74" s="1315"/>
      <c r="GD74" s="1315"/>
      <c r="GE74" s="1315"/>
      <c r="GF74" s="1315"/>
      <c r="GG74" s="1315"/>
      <c r="GH74" s="1315"/>
      <c r="GI74" s="1315"/>
      <c r="GJ74" s="1315"/>
      <c r="GK74" s="1315"/>
      <c r="GL74" s="1315"/>
      <c r="GM74" s="1315"/>
      <c r="GN74" s="1315"/>
      <c r="GO74" s="1315"/>
      <c r="GP74" s="1315"/>
      <c r="GQ74" s="1315"/>
      <c r="GR74" s="1315"/>
      <c r="GS74" s="1315"/>
      <c r="GT74" s="1315"/>
      <c r="GU74" s="1315"/>
      <c r="GV74" s="1315"/>
      <c r="GW74" s="1315"/>
      <c r="GX74" s="1315"/>
      <c r="GY74" s="1315"/>
      <c r="GZ74" s="1315"/>
      <c r="HA74" s="1315"/>
      <c r="HB74" s="1315"/>
      <c r="HC74" s="1315"/>
      <c r="HD74" s="1315"/>
      <c r="HE74" s="1315"/>
      <c r="HF74" s="1315"/>
      <c r="HG74" s="1315"/>
      <c r="HH74" s="1315"/>
      <c r="HI74" s="1315"/>
      <c r="HJ74" s="1315"/>
      <c r="HK74" s="1315"/>
      <c r="HL74" s="1315"/>
      <c r="HM74" s="1315"/>
      <c r="HN74" s="1315"/>
      <c r="HO74" s="1315"/>
      <c r="HP74" s="1315"/>
      <c r="HQ74" s="1315"/>
      <c r="HR74" s="1315"/>
      <c r="HS74" s="1315"/>
      <c r="HT74" s="1315"/>
      <c r="HU74" s="1315"/>
      <c r="HV74" s="1315"/>
      <c r="HW74" s="1315"/>
      <c r="HX74" s="1315"/>
      <c r="HY74" s="1315"/>
      <c r="HZ74" s="1315"/>
      <c r="IA74" s="1315"/>
      <c r="IB74" s="1315"/>
      <c r="IC74" s="1315"/>
      <c r="ID74" s="1315"/>
      <c r="IE74" s="1315"/>
      <c r="IF74" s="1315"/>
      <c r="IG74" s="1315"/>
      <c r="IH74" s="1315"/>
      <c r="II74" s="1315"/>
      <c r="IJ74" s="1315"/>
      <c r="IK74" s="1315"/>
      <c r="IL74" s="1315"/>
      <c r="IM74" s="1315"/>
      <c r="IN74" s="1315"/>
      <c r="IO74" s="1315"/>
      <c r="IP74" s="1315"/>
      <c r="IQ74" s="1315"/>
      <c r="IR74" s="1315"/>
      <c r="IS74" s="1315"/>
      <c r="IT74" s="1315"/>
      <c r="IU74" s="1315"/>
      <c r="IV74" s="1315"/>
      <c r="IW74" s="1315"/>
      <c r="IX74" s="1315"/>
      <c r="IY74" s="1315"/>
      <c r="IZ74" s="1315"/>
      <c r="JA74" s="1315"/>
      <c r="JB74" s="1315"/>
      <c r="JC74" s="1315"/>
      <c r="JD74" s="1315"/>
      <c r="JE74" s="1315"/>
      <c r="JF74" s="1315"/>
      <c r="JG74" s="1315"/>
      <c r="JH74" s="1315"/>
      <c r="JI74" s="1315"/>
      <c r="JJ74" s="1315"/>
      <c r="JK74" s="1315"/>
      <c r="JL74" s="1315"/>
      <c r="JM74" s="1315"/>
      <c r="JN74" s="1315"/>
      <c r="JO74" s="1315"/>
      <c r="JP74" s="1315"/>
      <c r="JQ74" s="1315"/>
      <c r="JR74" s="1315"/>
      <c r="JS74" s="1315"/>
      <c r="JT74" s="1315"/>
      <c r="JU74" s="1315"/>
      <c r="JV74" s="1315"/>
      <c r="JW74" s="1315"/>
      <c r="JX74" s="1315"/>
      <c r="JY74" s="1315"/>
      <c r="JZ74" s="1315"/>
      <c r="KA74" s="1315"/>
      <c r="KB74" s="1315"/>
      <c r="KC74" s="1315"/>
      <c r="KD74" s="1315"/>
      <c r="KE74" s="1315"/>
      <c r="KF74" s="1315"/>
      <c r="KG74" s="1315"/>
      <c r="KH74" s="1315"/>
      <c r="KI74" s="1315"/>
      <c r="KJ74" s="1315"/>
      <c r="KK74" s="1315"/>
      <c r="KL74" s="1315"/>
      <c r="KM74" s="1315"/>
      <c r="KN74" s="1315"/>
      <c r="KO74" s="1315"/>
      <c r="KP74" s="1315"/>
      <c r="KQ74" s="1315"/>
      <c r="KR74" s="1315"/>
      <c r="KS74" s="1315"/>
      <c r="KT74" s="1315"/>
      <c r="KU74" s="1315"/>
      <c r="KV74" s="1315"/>
    </row>
    <row r="75" spans="1:308" s="51" customFormat="1" ht="12" x14ac:dyDescent="0.2">
      <c r="A75" s="440" t="s">
        <v>20</v>
      </c>
      <c r="B75" s="1312">
        <v>2635</v>
      </c>
      <c r="C75" s="1313">
        <v>11000</v>
      </c>
      <c r="D75" s="1313">
        <f t="shared" si="113"/>
        <v>11440</v>
      </c>
      <c r="E75" s="1313">
        <f t="shared" ref="E75:Y75" si="169">ROUNDUP(D75*(E$65+1),0)</f>
        <v>11932</v>
      </c>
      <c r="F75" s="1313">
        <f t="shared" si="169"/>
        <v>12290</v>
      </c>
      <c r="G75" s="1313">
        <f t="shared" si="169"/>
        <v>12745</v>
      </c>
      <c r="H75" s="1313">
        <f t="shared" si="169"/>
        <v>13255</v>
      </c>
      <c r="I75" s="1313">
        <f t="shared" si="169"/>
        <v>13786</v>
      </c>
      <c r="J75" s="1314">
        <f t="shared" si="169"/>
        <v>14338</v>
      </c>
      <c r="K75" s="1314" t="e">
        <f t="shared" si="169"/>
        <v>#N/A</v>
      </c>
      <c r="L75" s="1314" t="e">
        <f t="shared" si="169"/>
        <v>#N/A</v>
      </c>
      <c r="M75" s="1314" t="e">
        <f t="shared" si="169"/>
        <v>#N/A</v>
      </c>
      <c r="N75" s="1314" t="e">
        <f t="shared" si="169"/>
        <v>#N/A</v>
      </c>
      <c r="O75" s="1314" t="e">
        <f t="shared" si="169"/>
        <v>#N/A</v>
      </c>
      <c r="P75" s="1314" t="e">
        <f t="shared" si="169"/>
        <v>#N/A</v>
      </c>
      <c r="Q75" s="1314" t="e">
        <f t="shared" si="169"/>
        <v>#N/A</v>
      </c>
      <c r="R75" s="1314" t="e">
        <f t="shared" si="169"/>
        <v>#N/A</v>
      </c>
      <c r="S75" s="1314" t="e">
        <f t="shared" si="169"/>
        <v>#N/A</v>
      </c>
      <c r="T75" s="1314" t="e">
        <f t="shared" si="169"/>
        <v>#N/A</v>
      </c>
      <c r="U75" s="1314" t="e">
        <f t="shared" si="169"/>
        <v>#N/A</v>
      </c>
      <c r="V75" s="1314" t="e">
        <f t="shared" si="169"/>
        <v>#N/A</v>
      </c>
      <c r="W75" s="1314" t="e">
        <f t="shared" si="169"/>
        <v>#N/A</v>
      </c>
      <c r="X75" s="1314" t="e">
        <f t="shared" si="169"/>
        <v>#N/A</v>
      </c>
      <c r="Y75" s="1314" t="e">
        <f t="shared" si="169"/>
        <v>#N/A</v>
      </c>
      <c r="Z75" s="1314" t="e">
        <f t="shared" si="115"/>
        <v>#N/A</v>
      </c>
      <c r="AA75" s="1314" t="e">
        <f t="shared" si="116"/>
        <v>#N/A</v>
      </c>
      <c r="AB75" s="1314" t="e">
        <f t="shared" si="117"/>
        <v>#N/A</v>
      </c>
      <c r="AC75" s="1314" t="e">
        <f t="shared" si="118"/>
        <v>#N/A</v>
      </c>
      <c r="AD75" s="1314" t="e">
        <f t="shared" si="119"/>
        <v>#N/A</v>
      </c>
      <c r="AE75" s="1314" t="e">
        <f t="shared" si="120"/>
        <v>#N/A</v>
      </c>
      <c r="AF75" s="1314" t="e">
        <f t="shared" si="121"/>
        <v>#N/A</v>
      </c>
      <c r="AG75" s="1314" t="e">
        <f t="shared" si="122"/>
        <v>#N/A</v>
      </c>
      <c r="AH75" s="1314" t="e">
        <f t="shared" si="123"/>
        <v>#N/A</v>
      </c>
      <c r="AI75" s="1314" t="e">
        <f t="shared" si="124"/>
        <v>#N/A</v>
      </c>
      <c r="AJ75" s="1314" t="e">
        <f t="shared" si="125"/>
        <v>#N/A</v>
      </c>
      <c r="AK75" s="1314" t="e">
        <f t="shared" si="126"/>
        <v>#N/A</v>
      </c>
      <c r="AL75" s="1314" t="e">
        <f t="shared" si="127"/>
        <v>#N/A</v>
      </c>
      <c r="AM75" s="1314" t="e">
        <f t="shared" si="128"/>
        <v>#N/A</v>
      </c>
      <c r="AN75" s="1314" t="e">
        <f t="shared" si="129"/>
        <v>#N/A</v>
      </c>
      <c r="AO75" s="1314" t="e">
        <f t="shared" si="130"/>
        <v>#N/A</v>
      </c>
      <c r="AP75" s="1314" t="e">
        <f t="shared" si="131"/>
        <v>#N/A</v>
      </c>
      <c r="AQ75" s="1314" t="e">
        <f t="shared" si="132"/>
        <v>#N/A</v>
      </c>
      <c r="AR75" s="1314" t="e">
        <f t="shared" si="133"/>
        <v>#N/A</v>
      </c>
      <c r="AS75" s="1314" t="e">
        <f t="shared" si="134"/>
        <v>#N/A</v>
      </c>
      <c r="AT75" s="1314" t="e">
        <f t="shared" si="135"/>
        <v>#N/A</v>
      </c>
      <c r="AU75" s="1314" t="e">
        <f t="shared" si="136"/>
        <v>#N/A</v>
      </c>
      <c r="AV75" s="1314" t="e">
        <f t="shared" si="137"/>
        <v>#N/A</v>
      </c>
      <c r="AW75" s="1314" t="e">
        <f t="shared" si="138"/>
        <v>#N/A</v>
      </c>
      <c r="AX75" s="1314" t="e">
        <f t="shared" si="139"/>
        <v>#N/A</v>
      </c>
      <c r="AY75" s="1314" t="e">
        <f t="shared" si="140"/>
        <v>#N/A</v>
      </c>
      <c r="AZ75" s="1314" t="e">
        <f t="shared" si="141"/>
        <v>#N/A</v>
      </c>
      <c r="BA75" s="1314" t="e">
        <f t="shared" si="142"/>
        <v>#N/A</v>
      </c>
      <c r="BB75" s="1314" t="e">
        <f t="shared" si="143"/>
        <v>#N/A</v>
      </c>
      <c r="BC75" s="1314" t="e">
        <f t="shared" si="144"/>
        <v>#N/A</v>
      </c>
      <c r="BD75" s="1314" t="e">
        <f t="shared" si="145"/>
        <v>#N/A</v>
      </c>
      <c r="BE75" s="1314" t="e">
        <f t="shared" si="146"/>
        <v>#N/A</v>
      </c>
      <c r="BF75" s="1314" t="e">
        <f t="shared" si="147"/>
        <v>#N/A</v>
      </c>
      <c r="BG75" s="1314" t="e">
        <f t="shared" si="148"/>
        <v>#N/A</v>
      </c>
      <c r="BH75" s="1314" t="e">
        <f t="shared" si="149"/>
        <v>#N/A</v>
      </c>
      <c r="BI75" s="1314" t="e">
        <f t="shared" si="150"/>
        <v>#N/A</v>
      </c>
      <c r="BJ75" s="1314" t="e">
        <f t="shared" si="151"/>
        <v>#N/A</v>
      </c>
      <c r="BK75" s="1314" t="e">
        <f t="shared" si="152"/>
        <v>#N/A</v>
      </c>
      <c r="BL75" s="1314" t="e">
        <f t="shared" si="153"/>
        <v>#N/A</v>
      </c>
      <c r="BM75" s="1314" t="e">
        <f t="shared" si="154"/>
        <v>#N/A</v>
      </c>
      <c r="BN75" s="1314" t="e">
        <f t="shared" si="155"/>
        <v>#N/A</v>
      </c>
      <c r="BO75" s="1314" t="e">
        <f t="shared" si="156"/>
        <v>#N/A</v>
      </c>
      <c r="BP75" s="1314" t="e">
        <f t="shared" si="157"/>
        <v>#N/A</v>
      </c>
      <c r="BQ75" s="1314" t="e">
        <f t="shared" si="158"/>
        <v>#N/A</v>
      </c>
      <c r="BR75" s="1314" t="e">
        <f t="shared" si="159"/>
        <v>#N/A</v>
      </c>
      <c r="BS75" s="1314" t="e">
        <f t="shared" si="160"/>
        <v>#N/A</v>
      </c>
      <c r="BT75" s="1314" t="e">
        <f t="shared" si="161"/>
        <v>#N/A</v>
      </c>
      <c r="BU75" s="1314" t="e">
        <f t="shared" si="162"/>
        <v>#N/A</v>
      </c>
      <c r="BV75" s="1314" t="e">
        <f t="shared" si="163"/>
        <v>#N/A</v>
      </c>
      <c r="BW75" s="1314" t="e">
        <f t="shared" si="164"/>
        <v>#N/A</v>
      </c>
      <c r="BX75" s="1314" t="e">
        <f t="shared" si="165"/>
        <v>#N/A</v>
      </c>
      <c r="BY75" s="1314" t="e">
        <f t="shared" si="166"/>
        <v>#N/A</v>
      </c>
      <c r="BZ75" s="1315"/>
      <c r="CA75" s="1315"/>
      <c r="CB75" s="1315"/>
      <c r="CC75" s="1315"/>
      <c r="CD75" s="1315"/>
      <c r="CE75" s="1315"/>
      <c r="CF75" s="1315"/>
      <c r="CG75" s="1315"/>
      <c r="CH75" s="1315"/>
      <c r="CI75" s="1315"/>
      <c r="CJ75" s="1315"/>
      <c r="CK75" s="1315"/>
      <c r="CL75" s="1315"/>
      <c r="CM75" s="1315"/>
      <c r="CN75" s="1315"/>
      <c r="CO75" s="1315"/>
      <c r="CP75" s="1315"/>
      <c r="CQ75" s="1315"/>
      <c r="CR75" s="1315"/>
      <c r="CS75" s="1315"/>
      <c r="CT75" s="1315"/>
      <c r="CU75" s="1315"/>
      <c r="CV75" s="1315"/>
      <c r="CW75" s="1315"/>
      <c r="CX75" s="1315"/>
      <c r="CY75" s="1315"/>
      <c r="CZ75" s="1315"/>
      <c r="DA75" s="1315"/>
      <c r="DB75" s="1315"/>
      <c r="DC75" s="1315"/>
      <c r="DD75" s="1315"/>
      <c r="DE75" s="1315"/>
      <c r="DF75" s="1315"/>
      <c r="DG75" s="1315"/>
      <c r="DH75" s="1315"/>
      <c r="DI75" s="1315"/>
      <c r="DJ75" s="1315"/>
      <c r="DK75" s="1315"/>
      <c r="DL75" s="1315"/>
      <c r="DM75" s="1315"/>
      <c r="DN75" s="1315"/>
      <c r="DO75" s="1315"/>
      <c r="DP75" s="1315"/>
      <c r="DQ75" s="1315"/>
      <c r="DR75" s="1315"/>
      <c r="DS75" s="1315"/>
      <c r="DT75" s="1315"/>
      <c r="DU75" s="1315"/>
      <c r="DV75" s="1315"/>
      <c r="DW75" s="1315"/>
      <c r="DX75" s="1315"/>
      <c r="DY75" s="1315"/>
      <c r="DZ75" s="1315"/>
      <c r="EA75" s="1315"/>
      <c r="EB75" s="1315"/>
      <c r="EC75" s="1315"/>
      <c r="ED75" s="1315"/>
      <c r="EE75" s="1315"/>
      <c r="EF75" s="1315"/>
      <c r="EG75" s="1315"/>
      <c r="EH75" s="1315"/>
      <c r="EI75" s="1315"/>
      <c r="EJ75" s="1315"/>
      <c r="EK75" s="1315"/>
      <c r="EL75" s="1315"/>
      <c r="EM75" s="1315"/>
      <c r="EN75" s="1315"/>
      <c r="EO75" s="1315"/>
      <c r="EP75" s="1315"/>
      <c r="EQ75" s="1315"/>
      <c r="ER75" s="1315"/>
      <c r="ES75" s="1315"/>
      <c r="ET75" s="1315"/>
      <c r="EU75" s="1315"/>
      <c r="EV75" s="1315"/>
      <c r="EW75" s="1315"/>
      <c r="EX75" s="1315"/>
      <c r="EY75" s="1315"/>
      <c r="EZ75" s="1315"/>
      <c r="FA75" s="1315"/>
      <c r="FB75" s="1315"/>
      <c r="FC75" s="1315"/>
      <c r="FD75" s="1315"/>
      <c r="FE75" s="1315"/>
      <c r="FF75" s="1315"/>
      <c r="FG75" s="1315"/>
      <c r="FH75" s="1315"/>
      <c r="FI75" s="1315"/>
      <c r="FJ75" s="1315"/>
      <c r="FK75" s="1315"/>
      <c r="FL75" s="1315"/>
      <c r="FM75" s="1315"/>
      <c r="FN75" s="1315"/>
      <c r="FO75" s="1315"/>
      <c r="FP75" s="1315"/>
      <c r="FQ75" s="1315"/>
      <c r="FR75" s="1315"/>
      <c r="FS75" s="1315"/>
      <c r="FT75" s="1315"/>
      <c r="FU75" s="1315"/>
      <c r="FV75" s="1315"/>
      <c r="FW75" s="1315"/>
      <c r="FX75" s="1315"/>
      <c r="FY75" s="1315"/>
      <c r="FZ75" s="1315"/>
      <c r="GA75" s="1315"/>
      <c r="GB75" s="1315"/>
      <c r="GC75" s="1315"/>
      <c r="GD75" s="1315"/>
      <c r="GE75" s="1315"/>
      <c r="GF75" s="1315"/>
      <c r="GG75" s="1315"/>
      <c r="GH75" s="1315"/>
      <c r="GI75" s="1315"/>
      <c r="GJ75" s="1315"/>
      <c r="GK75" s="1315"/>
      <c r="GL75" s="1315"/>
      <c r="GM75" s="1315"/>
      <c r="GN75" s="1315"/>
      <c r="GO75" s="1315"/>
      <c r="GP75" s="1315"/>
      <c r="GQ75" s="1315"/>
      <c r="GR75" s="1315"/>
      <c r="GS75" s="1315"/>
      <c r="GT75" s="1315"/>
      <c r="GU75" s="1315"/>
      <c r="GV75" s="1315"/>
      <c r="GW75" s="1315"/>
      <c r="GX75" s="1315"/>
      <c r="GY75" s="1315"/>
      <c r="GZ75" s="1315"/>
      <c r="HA75" s="1315"/>
      <c r="HB75" s="1315"/>
      <c r="HC75" s="1315"/>
      <c r="HD75" s="1315"/>
      <c r="HE75" s="1315"/>
      <c r="HF75" s="1315"/>
      <c r="HG75" s="1315"/>
      <c r="HH75" s="1315"/>
      <c r="HI75" s="1315"/>
      <c r="HJ75" s="1315"/>
      <c r="HK75" s="1315"/>
      <c r="HL75" s="1315"/>
      <c r="HM75" s="1315"/>
      <c r="HN75" s="1315"/>
      <c r="HO75" s="1315"/>
      <c r="HP75" s="1315"/>
      <c r="HQ75" s="1315"/>
      <c r="HR75" s="1315"/>
      <c r="HS75" s="1315"/>
      <c r="HT75" s="1315"/>
      <c r="HU75" s="1315"/>
      <c r="HV75" s="1315"/>
      <c r="HW75" s="1315"/>
      <c r="HX75" s="1315"/>
      <c r="HY75" s="1315"/>
      <c r="HZ75" s="1315"/>
      <c r="IA75" s="1315"/>
      <c r="IB75" s="1315"/>
      <c r="IC75" s="1315"/>
      <c r="ID75" s="1315"/>
      <c r="IE75" s="1315"/>
      <c r="IF75" s="1315"/>
      <c r="IG75" s="1315"/>
      <c r="IH75" s="1315"/>
      <c r="II75" s="1315"/>
      <c r="IJ75" s="1315"/>
      <c r="IK75" s="1315"/>
      <c r="IL75" s="1315"/>
      <c r="IM75" s="1315"/>
      <c r="IN75" s="1315"/>
      <c r="IO75" s="1315"/>
      <c r="IP75" s="1315"/>
      <c r="IQ75" s="1315"/>
      <c r="IR75" s="1315"/>
      <c r="IS75" s="1315"/>
      <c r="IT75" s="1315"/>
      <c r="IU75" s="1315"/>
      <c r="IV75" s="1315"/>
      <c r="IW75" s="1315"/>
      <c r="IX75" s="1315"/>
      <c r="IY75" s="1315"/>
      <c r="IZ75" s="1315"/>
      <c r="JA75" s="1315"/>
      <c r="JB75" s="1315"/>
      <c r="JC75" s="1315"/>
      <c r="JD75" s="1315"/>
      <c r="JE75" s="1315"/>
      <c r="JF75" s="1315"/>
      <c r="JG75" s="1315"/>
      <c r="JH75" s="1315"/>
      <c r="JI75" s="1315"/>
      <c r="JJ75" s="1315"/>
      <c r="JK75" s="1315"/>
      <c r="JL75" s="1315"/>
      <c r="JM75" s="1315"/>
      <c r="JN75" s="1315"/>
      <c r="JO75" s="1315"/>
      <c r="JP75" s="1315"/>
      <c r="JQ75" s="1315"/>
      <c r="JR75" s="1315"/>
      <c r="JS75" s="1315"/>
      <c r="JT75" s="1315"/>
      <c r="JU75" s="1315"/>
      <c r="JV75" s="1315"/>
      <c r="JW75" s="1315"/>
      <c r="JX75" s="1315"/>
      <c r="JY75" s="1315"/>
      <c r="JZ75" s="1315"/>
      <c r="KA75" s="1315"/>
      <c r="KB75" s="1315"/>
      <c r="KC75" s="1315"/>
      <c r="KD75" s="1315"/>
      <c r="KE75" s="1315"/>
      <c r="KF75" s="1315"/>
      <c r="KG75" s="1315"/>
      <c r="KH75" s="1315"/>
      <c r="KI75" s="1315"/>
      <c r="KJ75" s="1315"/>
      <c r="KK75" s="1315"/>
      <c r="KL75" s="1315"/>
      <c r="KM75" s="1315"/>
      <c r="KN75" s="1315"/>
      <c r="KO75" s="1315"/>
      <c r="KP75" s="1315"/>
      <c r="KQ75" s="1315"/>
      <c r="KR75" s="1315"/>
      <c r="KS75" s="1315"/>
      <c r="KT75" s="1315"/>
      <c r="KU75" s="1315"/>
      <c r="KV75" s="1315"/>
    </row>
    <row r="76" spans="1:308" s="51" customFormat="1" ht="12" x14ac:dyDescent="0.2">
      <c r="A76" s="440" t="s">
        <v>21</v>
      </c>
      <c r="B76" s="1312">
        <v>2433</v>
      </c>
      <c r="C76" s="1313">
        <v>10500</v>
      </c>
      <c r="D76" s="1313">
        <f t="shared" si="113"/>
        <v>10920</v>
      </c>
      <c r="E76" s="1313">
        <f t="shared" ref="E76:Y76" si="170">ROUNDUP(D76*(E$65+1),0)</f>
        <v>11390</v>
      </c>
      <c r="F76" s="1313">
        <f t="shared" si="170"/>
        <v>11732</v>
      </c>
      <c r="G76" s="1313">
        <f t="shared" si="170"/>
        <v>12167</v>
      </c>
      <c r="H76" s="1313">
        <f t="shared" si="170"/>
        <v>12654</v>
      </c>
      <c r="I76" s="1313">
        <f t="shared" si="170"/>
        <v>13161</v>
      </c>
      <c r="J76" s="1314">
        <f t="shared" si="170"/>
        <v>13688</v>
      </c>
      <c r="K76" s="1314" t="e">
        <f t="shared" si="170"/>
        <v>#N/A</v>
      </c>
      <c r="L76" s="1314" t="e">
        <f t="shared" si="170"/>
        <v>#N/A</v>
      </c>
      <c r="M76" s="1314" t="e">
        <f t="shared" si="170"/>
        <v>#N/A</v>
      </c>
      <c r="N76" s="1314" t="e">
        <f t="shared" si="170"/>
        <v>#N/A</v>
      </c>
      <c r="O76" s="1314" t="e">
        <f t="shared" si="170"/>
        <v>#N/A</v>
      </c>
      <c r="P76" s="1314" t="e">
        <f t="shared" si="170"/>
        <v>#N/A</v>
      </c>
      <c r="Q76" s="1314" t="e">
        <f t="shared" si="170"/>
        <v>#N/A</v>
      </c>
      <c r="R76" s="1314" t="e">
        <f t="shared" si="170"/>
        <v>#N/A</v>
      </c>
      <c r="S76" s="1314" t="e">
        <f t="shared" si="170"/>
        <v>#N/A</v>
      </c>
      <c r="T76" s="1314" t="e">
        <f t="shared" si="170"/>
        <v>#N/A</v>
      </c>
      <c r="U76" s="1314" t="e">
        <f t="shared" si="170"/>
        <v>#N/A</v>
      </c>
      <c r="V76" s="1314" t="e">
        <f t="shared" si="170"/>
        <v>#N/A</v>
      </c>
      <c r="W76" s="1314" t="e">
        <f t="shared" si="170"/>
        <v>#N/A</v>
      </c>
      <c r="X76" s="1314" t="e">
        <f t="shared" si="170"/>
        <v>#N/A</v>
      </c>
      <c r="Y76" s="1314" t="e">
        <f t="shared" si="170"/>
        <v>#N/A</v>
      </c>
      <c r="Z76" s="1314" t="e">
        <f t="shared" si="115"/>
        <v>#N/A</v>
      </c>
      <c r="AA76" s="1314" t="e">
        <f t="shared" si="116"/>
        <v>#N/A</v>
      </c>
      <c r="AB76" s="1314" t="e">
        <f t="shared" si="117"/>
        <v>#N/A</v>
      </c>
      <c r="AC76" s="1314" t="e">
        <f t="shared" si="118"/>
        <v>#N/A</v>
      </c>
      <c r="AD76" s="1314" t="e">
        <f t="shared" si="119"/>
        <v>#N/A</v>
      </c>
      <c r="AE76" s="1314" t="e">
        <f t="shared" si="120"/>
        <v>#N/A</v>
      </c>
      <c r="AF76" s="1314" t="e">
        <f t="shared" si="121"/>
        <v>#N/A</v>
      </c>
      <c r="AG76" s="1314" t="e">
        <f t="shared" si="122"/>
        <v>#N/A</v>
      </c>
      <c r="AH76" s="1314" t="e">
        <f t="shared" si="123"/>
        <v>#N/A</v>
      </c>
      <c r="AI76" s="1314" t="e">
        <f t="shared" si="124"/>
        <v>#N/A</v>
      </c>
      <c r="AJ76" s="1314" t="e">
        <f t="shared" si="125"/>
        <v>#N/A</v>
      </c>
      <c r="AK76" s="1314" t="e">
        <f t="shared" si="126"/>
        <v>#N/A</v>
      </c>
      <c r="AL76" s="1314" t="e">
        <f t="shared" si="127"/>
        <v>#N/A</v>
      </c>
      <c r="AM76" s="1314" t="e">
        <f t="shared" si="128"/>
        <v>#N/A</v>
      </c>
      <c r="AN76" s="1314" t="e">
        <f t="shared" si="129"/>
        <v>#N/A</v>
      </c>
      <c r="AO76" s="1314" t="e">
        <f t="shared" si="130"/>
        <v>#N/A</v>
      </c>
      <c r="AP76" s="1314" t="e">
        <f t="shared" si="131"/>
        <v>#N/A</v>
      </c>
      <c r="AQ76" s="1314" t="e">
        <f t="shared" si="132"/>
        <v>#N/A</v>
      </c>
      <c r="AR76" s="1314" t="e">
        <f t="shared" si="133"/>
        <v>#N/A</v>
      </c>
      <c r="AS76" s="1314" t="e">
        <f t="shared" si="134"/>
        <v>#N/A</v>
      </c>
      <c r="AT76" s="1314" t="e">
        <f t="shared" si="135"/>
        <v>#N/A</v>
      </c>
      <c r="AU76" s="1314" t="e">
        <f t="shared" si="136"/>
        <v>#N/A</v>
      </c>
      <c r="AV76" s="1314" t="e">
        <f t="shared" si="137"/>
        <v>#N/A</v>
      </c>
      <c r="AW76" s="1314" t="e">
        <f t="shared" si="138"/>
        <v>#N/A</v>
      </c>
      <c r="AX76" s="1314" t="e">
        <f t="shared" si="139"/>
        <v>#N/A</v>
      </c>
      <c r="AY76" s="1314" t="e">
        <f t="shared" si="140"/>
        <v>#N/A</v>
      </c>
      <c r="AZ76" s="1314" t="e">
        <f t="shared" si="141"/>
        <v>#N/A</v>
      </c>
      <c r="BA76" s="1314" t="e">
        <f t="shared" si="142"/>
        <v>#N/A</v>
      </c>
      <c r="BB76" s="1314" t="e">
        <f t="shared" si="143"/>
        <v>#N/A</v>
      </c>
      <c r="BC76" s="1314" t="e">
        <f t="shared" si="144"/>
        <v>#N/A</v>
      </c>
      <c r="BD76" s="1314" t="e">
        <f t="shared" si="145"/>
        <v>#N/A</v>
      </c>
      <c r="BE76" s="1314" t="e">
        <f t="shared" si="146"/>
        <v>#N/A</v>
      </c>
      <c r="BF76" s="1314" t="e">
        <f t="shared" si="147"/>
        <v>#N/A</v>
      </c>
      <c r="BG76" s="1314" t="e">
        <f t="shared" si="148"/>
        <v>#N/A</v>
      </c>
      <c r="BH76" s="1314" t="e">
        <f t="shared" si="149"/>
        <v>#N/A</v>
      </c>
      <c r="BI76" s="1314" t="e">
        <f t="shared" si="150"/>
        <v>#N/A</v>
      </c>
      <c r="BJ76" s="1314" t="e">
        <f t="shared" si="151"/>
        <v>#N/A</v>
      </c>
      <c r="BK76" s="1314" t="e">
        <f t="shared" si="152"/>
        <v>#N/A</v>
      </c>
      <c r="BL76" s="1314" t="e">
        <f t="shared" si="153"/>
        <v>#N/A</v>
      </c>
      <c r="BM76" s="1314" t="e">
        <f t="shared" si="154"/>
        <v>#N/A</v>
      </c>
      <c r="BN76" s="1314" t="e">
        <f t="shared" si="155"/>
        <v>#N/A</v>
      </c>
      <c r="BO76" s="1314" t="e">
        <f t="shared" si="156"/>
        <v>#N/A</v>
      </c>
      <c r="BP76" s="1314" t="e">
        <f t="shared" si="157"/>
        <v>#N/A</v>
      </c>
      <c r="BQ76" s="1314" t="e">
        <f t="shared" si="158"/>
        <v>#N/A</v>
      </c>
      <c r="BR76" s="1314" t="e">
        <f t="shared" si="159"/>
        <v>#N/A</v>
      </c>
      <c r="BS76" s="1314" t="e">
        <f t="shared" si="160"/>
        <v>#N/A</v>
      </c>
      <c r="BT76" s="1314" t="e">
        <f t="shared" si="161"/>
        <v>#N/A</v>
      </c>
      <c r="BU76" s="1314" t="e">
        <f t="shared" si="162"/>
        <v>#N/A</v>
      </c>
      <c r="BV76" s="1314" t="e">
        <f t="shared" si="163"/>
        <v>#N/A</v>
      </c>
      <c r="BW76" s="1314" t="e">
        <f t="shared" si="164"/>
        <v>#N/A</v>
      </c>
      <c r="BX76" s="1314" t="e">
        <f t="shared" si="165"/>
        <v>#N/A</v>
      </c>
      <c r="BY76" s="1314" t="e">
        <f t="shared" si="166"/>
        <v>#N/A</v>
      </c>
      <c r="BZ76" s="1315"/>
      <c r="CA76" s="1315"/>
      <c r="CB76" s="1315"/>
      <c r="CC76" s="1315"/>
      <c r="CD76" s="1315"/>
      <c r="CE76" s="1315"/>
      <c r="CF76" s="1315"/>
      <c r="CG76" s="1315"/>
      <c r="CH76" s="1315"/>
      <c r="CI76" s="1315"/>
      <c r="CJ76" s="1315"/>
      <c r="CK76" s="1315"/>
      <c r="CL76" s="1315"/>
      <c r="CM76" s="1315"/>
      <c r="CN76" s="1315"/>
      <c r="CO76" s="1315"/>
      <c r="CP76" s="1315"/>
      <c r="CQ76" s="1315"/>
      <c r="CR76" s="1315"/>
      <c r="CS76" s="1315"/>
      <c r="CT76" s="1315"/>
      <c r="CU76" s="1315"/>
      <c r="CV76" s="1315"/>
      <c r="CW76" s="1315"/>
      <c r="CX76" s="1315"/>
      <c r="CY76" s="1315"/>
      <c r="CZ76" s="1315"/>
      <c r="DA76" s="1315"/>
      <c r="DB76" s="1315"/>
      <c r="DC76" s="1315"/>
      <c r="DD76" s="1315"/>
      <c r="DE76" s="1315"/>
      <c r="DF76" s="1315"/>
      <c r="DG76" s="1315"/>
      <c r="DH76" s="1315"/>
      <c r="DI76" s="1315"/>
      <c r="DJ76" s="1315"/>
      <c r="DK76" s="1315"/>
      <c r="DL76" s="1315"/>
      <c r="DM76" s="1315"/>
      <c r="DN76" s="1315"/>
      <c r="DO76" s="1315"/>
      <c r="DP76" s="1315"/>
      <c r="DQ76" s="1315"/>
      <c r="DR76" s="1315"/>
      <c r="DS76" s="1315"/>
      <c r="DT76" s="1315"/>
      <c r="DU76" s="1315"/>
      <c r="DV76" s="1315"/>
      <c r="DW76" s="1315"/>
      <c r="DX76" s="1315"/>
      <c r="DY76" s="1315"/>
      <c r="DZ76" s="1315"/>
      <c r="EA76" s="1315"/>
      <c r="EB76" s="1315"/>
      <c r="EC76" s="1315"/>
      <c r="ED76" s="1315"/>
      <c r="EE76" s="1315"/>
      <c r="EF76" s="1315"/>
      <c r="EG76" s="1315"/>
      <c r="EH76" s="1315"/>
      <c r="EI76" s="1315"/>
      <c r="EJ76" s="1315"/>
      <c r="EK76" s="1315"/>
      <c r="EL76" s="1315"/>
      <c r="EM76" s="1315"/>
      <c r="EN76" s="1315"/>
      <c r="EO76" s="1315"/>
      <c r="EP76" s="1315"/>
      <c r="EQ76" s="1315"/>
      <c r="ER76" s="1315"/>
      <c r="ES76" s="1315"/>
      <c r="ET76" s="1315"/>
      <c r="EU76" s="1315"/>
      <c r="EV76" s="1315"/>
      <c r="EW76" s="1315"/>
      <c r="EX76" s="1315"/>
      <c r="EY76" s="1315"/>
      <c r="EZ76" s="1315"/>
      <c r="FA76" s="1315"/>
      <c r="FB76" s="1315"/>
      <c r="FC76" s="1315"/>
      <c r="FD76" s="1315"/>
      <c r="FE76" s="1315"/>
      <c r="FF76" s="1315"/>
      <c r="FG76" s="1315"/>
      <c r="FH76" s="1315"/>
      <c r="FI76" s="1315"/>
      <c r="FJ76" s="1315"/>
      <c r="FK76" s="1315"/>
      <c r="FL76" s="1315"/>
      <c r="FM76" s="1315"/>
      <c r="FN76" s="1315"/>
      <c r="FO76" s="1315"/>
      <c r="FP76" s="1315"/>
      <c r="FQ76" s="1315"/>
      <c r="FR76" s="1315"/>
      <c r="FS76" s="1315"/>
      <c r="FT76" s="1315"/>
      <c r="FU76" s="1315"/>
      <c r="FV76" s="1315"/>
      <c r="FW76" s="1315"/>
      <c r="FX76" s="1315"/>
      <c r="FY76" s="1315"/>
      <c r="FZ76" s="1315"/>
      <c r="GA76" s="1315"/>
      <c r="GB76" s="1315"/>
      <c r="GC76" s="1315"/>
      <c r="GD76" s="1315"/>
      <c r="GE76" s="1315"/>
      <c r="GF76" s="1315"/>
      <c r="GG76" s="1315"/>
      <c r="GH76" s="1315"/>
      <c r="GI76" s="1315"/>
      <c r="GJ76" s="1315"/>
      <c r="GK76" s="1315"/>
      <c r="GL76" s="1315"/>
      <c r="GM76" s="1315"/>
      <c r="GN76" s="1315"/>
      <c r="GO76" s="1315"/>
      <c r="GP76" s="1315"/>
      <c r="GQ76" s="1315"/>
      <c r="GR76" s="1315"/>
      <c r="GS76" s="1315"/>
      <c r="GT76" s="1315"/>
      <c r="GU76" s="1315"/>
      <c r="GV76" s="1315"/>
      <c r="GW76" s="1315"/>
      <c r="GX76" s="1315"/>
      <c r="GY76" s="1315"/>
      <c r="GZ76" s="1315"/>
      <c r="HA76" s="1315"/>
      <c r="HB76" s="1315"/>
      <c r="HC76" s="1315"/>
      <c r="HD76" s="1315"/>
      <c r="HE76" s="1315"/>
      <c r="HF76" s="1315"/>
      <c r="HG76" s="1315"/>
      <c r="HH76" s="1315"/>
      <c r="HI76" s="1315"/>
      <c r="HJ76" s="1315"/>
      <c r="HK76" s="1315"/>
      <c r="HL76" s="1315"/>
      <c r="HM76" s="1315"/>
      <c r="HN76" s="1315"/>
      <c r="HO76" s="1315"/>
      <c r="HP76" s="1315"/>
      <c r="HQ76" s="1315"/>
      <c r="HR76" s="1315"/>
      <c r="HS76" s="1315"/>
      <c r="HT76" s="1315"/>
      <c r="HU76" s="1315"/>
      <c r="HV76" s="1315"/>
      <c r="HW76" s="1315"/>
      <c r="HX76" s="1315"/>
      <c r="HY76" s="1315"/>
      <c r="HZ76" s="1315"/>
      <c r="IA76" s="1315"/>
      <c r="IB76" s="1315"/>
      <c r="IC76" s="1315"/>
      <c r="ID76" s="1315"/>
      <c r="IE76" s="1315"/>
      <c r="IF76" s="1315"/>
      <c r="IG76" s="1315"/>
      <c r="IH76" s="1315"/>
      <c r="II76" s="1315"/>
      <c r="IJ76" s="1315"/>
      <c r="IK76" s="1315"/>
      <c r="IL76" s="1315"/>
      <c r="IM76" s="1315"/>
      <c r="IN76" s="1315"/>
      <c r="IO76" s="1315"/>
      <c r="IP76" s="1315"/>
      <c r="IQ76" s="1315"/>
      <c r="IR76" s="1315"/>
      <c r="IS76" s="1315"/>
      <c r="IT76" s="1315"/>
      <c r="IU76" s="1315"/>
      <c r="IV76" s="1315"/>
      <c r="IW76" s="1315"/>
      <c r="IX76" s="1315"/>
      <c r="IY76" s="1315"/>
      <c r="IZ76" s="1315"/>
      <c r="JA76" s="1315"/>
      <c r="JB76" s="1315"/>
      <c r="JC76" s="1315"/>
      <c r="JD76" s="1315"/>
      <c r="JE76" s="1315"/>
      <c r="JF76" s="1315"/>
      <c r="JG76" s="1315"/>
      <c r="JH76" s="1315"/>
      <c r="JI76" s="1315"/>
      <c r="JJ76" s="1315"/>
      <c r="JK76" s="1315"/>
      <c r="JL76" s="1315"/>
      <c r="JM76" s="1315"/>
      <c r="JN76" s="1315"/>
      <c r="JO76" s="1315"/>
      <c r="JP76" s="1315"/>
      <c r="JQ76" s="1315"/>
      <c r="JR76" s="1315"/>
      <c r="JS76" s="1315"/>
      <c r="JT76" s="1315"/>
      <c r="JU76" s="1315"/>
      <c r="JV76" s="1315"/>
      <c r="JW76" s="1315"/>
      <c r="JX76" s="1315"/>
      <c r="JY76" s="1315"/>
      <c r="JZ76" s="1315"/>
      <c r="KA76" s="1315"/>
      <c r="KB76" s="1315"/>
      <c r="KC76" s="1315"/>
      <c r="KD76" s="1315"/>
      <c r="KE76" s="1315"/>
      <c r="KF76" s="1315"/>
      <c r="KG76" s="1315"/>
      <c r="KH76" s="1315"/>
      <c r="KI76" s="1315"/>
      <c r="KJ76" s="1315"/>
      <c r="KK76" s="1315"/>
      <c r="KL76" s="1315"/>
      <c r="KM76" s="1315"/>
      <c r="KN76" s="1315"/>
      <c r="KO76" s="1315"/>
      <c r="KP76" s="1315"/>
      <c r="KQ76" s="1315"/>
      <c r="KR76" s="1315"/>
      <c r="KS76" s="1315"/>
      <c r="KT76" s="1315"/>
      <c r="KU76" s="1315"/>
      <c r="KV76" s="1315"/>
    </row>
    <row r="77" spans="1:308" s="59" customFormat="1" ht="12" x14ac:dyDescent="0.2">
      <c r="A77" s="441" t="s">
        <v>22</v>
      </c>
      <c r="B77" s="1312">
        <v>2346</v>
      </c>
      <c r="C77" s="1316">
        <v>10000</v>
      </c>
      <c r="D77" s="1316">
        <f t="shared" si="113"/>
        <v>10400</v>
      </c>
      <c r="E77" s="1316">
        <f t="shared" ref="E77:Y77" si="171">ROUNDUP(D77*(E$65+1),0)</f>
        <v>10848</v>
      </c>
      <c r="F77" s="1316">
        <f t="shared" si="171"/>
        <v>11174</v>
      </c>
      <c r="G77" s="1316">
        <f t="shared" si="171"/>
        <v>11588</v>
      </c>
      <c r="H77" s="1316">
        <f t="shared" si="171"/>
        <v>12052</v>
      </c>
      <c r="I77" s="1316">
        <f t="shared" si="171"/>
        <v>12535</v>
      </c>
      <c r="J77" s="1317">
        <f t="shared" si="171"/>
        <v>13037</v>
      </c>
      <c r="K77" s="1317" t="e">
        <f t="shared" si="171"/>
        <v>#N/A</v>
      </c>
      <c r="L77" s="1317" t="e">
        <f t="shared" si="171"/>
        <v>#N/A</v>
      </c>
      <c r="M77" s="1317" t="e">
        <f t="shared" si="171"/>
        <v>#N/A</v>
      </c>
      <c r="N77" s="1317" t="e">
        <f t="shared" si="171"/>
        <v>#N/A</v>
      </c>
      <c r="O77" s="1317" t="e">
        <f t="shared" si="171"/>
        <v>#N/A</v>
      </c>
      <c r="P77" s="1317" t="e">
        <f t="shared" si="171"/>
        <v>#N/A</v>
      </c>
      <c r="Q77" s="1317" t="e">
        <f t="shared" si="171"/>
        <v>#N/A</v>
      </c>
      <c r="R77" s="1317" t="e">
        <f t="shared" si="171"/>
        <v>#N/A</v>
      </c>
      <c r="S77" s="1317" t="e">
        <f t="shared" si="171"/>
        <v>#N/A</v>
      </c>
      <c r="T77" s="1317" t="e">
        <f t="shared" si="171"/>
        <v>#N/A</v>
      </c>
      <c r="U77" s="1317" t="e">
        <f t="shared" si="171"/>
        <v>#N/A</v>
      </c>
      <c r="V77" s="1317" t="e">
        <f t="shared" si="171"/>
        <v>#N/A</v>
      </c>
      <c r="W77" s="1317" t="e">
        <f t="shared" si="171"/>
        <v>#N/A</v>
      </c>
      <c r="X77" s="1317" t="e">
        <f t="shared" si="171"/>
        <v>#N/A</v>
      </c>
      <c r="Y77" s="1317" t="e">
        <f t="shared" si="171"/>
        <v>#N/A</v>
      </c>
      <c r="Z77" s="1317" t="e">
        <f t="shared" si="115"/>
        <v>#N/A</v>
      </c>
      <c r="AA77" s="1317" t="e">
        <f t="shared" si="116"/>
        <v>#N/A</v>
      </c>
      <c r="AB77" s="1317" t="e">
        <f t="shared" si="117"/>
        <v>#N/A</v>
      </c>
      <c r="AC77" s="1317" t="e">
        <f t="shared" si="118"/>
        <v>#N/A</v>
      </c>
      <c r="AD77" s="1317" t="e">
        <f t="shared" si="119"/>
        <v>#N/A</v>
      </c>
      <c r="AE77" s="1317" t="e">
        <f t="shared" si="120"/>
        <v>#N/A</v>
      </c>
      <c r="AF77" s="1317" t="e">
        <f t="shared" si="121"/>
        <v>#N/A</v>
      </c>
      <c r="AG77" s="1317" t="e">
        <f t="shared" si="122"/>
        <v>#N/A</v>
      </c>
      <c r="AH77" s="1317" t="e">
        <f t="shared" si="123"/>
        <v>#N/A</v>
      </c>
      <c r="AI77" s="1317" t="e">
        <f t="shared" si="124"/>
        <v>#N/A</v>
      </c>
      <c r="AJ77" s="1317" t="e">
        <f t="shared" si="125"/>
        <v>#N/A</v>
      </c>
      <c r="AK77" s="1317" t="e">
        <f t="shared" si="126"/>
        <v>#N/A</v>
      </c>
      <c r="AL77" s="1317" t="e">
        <f t="shared" si="127"/>
        <v>#N/A</v>
      </c>
      <c r="AM77" s="1317" t="e">
        <f t="shared" si="128"/>
        <v>#N/A</v>
      </c>
      <c r="AN77" s="1317" t="e">
        <f t="shared" si="129"/>
        <v>#N/A</v>
      </c>
      <c r="AO77" s="1317" t="e">
        <f t="shared" si="130"/>
        <v>#N/A</v>
      </c>
      <c r="AP77" s="1317" t="e">
        <f t="shared" si="131"/>
        <v>#N/A</v>
      </c>
      <c r="AQ77" s="1317" t="e">
        <f t="shared" si="132"/>
        <v>#N/A</v>
      </c>
      <c r="AR77" s="1317" t="e">
        <f t="shared" si="133"/>
        <v>#N/A</v>
      </c>
      <c r="AS77" s="1317" t="e">
        <f t="shared" si="134"/>
        <v>#N/A</v>
      </c>
      <c r="AT77" s="1317" t="e">
        <f t="shared" si="135"/>
        <v>#N/A</v>
      </c>
      <c r="AU77" s="1317" t="e">
        <f t="shared" si="136"/>
        <v>#N/A</v>
      </c>
      <c r="AV77" s="1317" t="e">
        <f t="shared" si="137"/>
        <v>#N/A</v>
      </c>
      <c r="AW77" s="1317" t="e">
        <f t="shared" si="138"/>
        <v>#N/A</v>
      </c>
      <c r="AX77" s="1317" t="e">
        <f t="shared" si="139"/>
        <v>#N/A</v>
      </c>
      <c r="AY77" s="1317" t="e">
        <f t="shared" si="140"/>
        <v>#N/A</v>
      </c>
      <c r="AZ77" s="1317" t="e">
        <f t="shared" si="141"/>
        <v>#N/A</v>
      </c>
      <c r="BA77" s="1317" t="e">
        <f t="shared" si="142"/>
        <v>#N/A</v>
      </c>
      <c r="BB77" s="1317" t="e">
        <f t="shared" si="143"/>
        <v>#N/A</v>
      </c>
      <c r="BC77" s="1317" t="e">
        <f t="shared" si="144"/>
        <v>#N/A</v>
      </c>
      <c r="BD77" s="1317" t="e">
        <f t="shared" si="145"/>
        <v>#N/A</v>
      </c>
      <c r="BE77" s="1317" t="e">
        <f t="shared" si="146"/>
        <v>#N/A</v>
      </c>
      <c r="BF77" s="1317" t="e">
        <f t="shared" si="147"/>
        <v>#N/A</v>
      </c>
      <c r="BG77" s="1317" t="e">
        <f t="shared" si="148"/>
        <v>#N/A</v>
      </c>
      <c r="BH77" s="1317" t="e">
        <f t="shared" si="149"/>
        <v>#N/A</v>
      </c>
      <c r="BI77" s="1317" t="e">
        <f t="shared" si="150"/>
        <v>#N/A</v>
      </c>
      <c r="BJ77" s="1317" t="e">
        <f t="shared" si="151"/>
        <v>#N/A</v>
      </c>
      <c r="BK77" s="1317" t="e">
        <f t="shared" si="152"/>
        <v>#N/A</v>
      </c>
      <c r="BL77" s="1317" t="e">
        <f t="shared" si="153"/>
        <v>#N/A</v>
      </c>
      <c r="BM77" s="1317" t="e">
        <f t="shared" si="154"/>
        <v>#N/A</v>
      </c>
      <c r="BN77" s="1317" t="e">
        <f t="shared" si="155"/>
        <v>#N/A</v>
      </c>
      <c r="BO77" s="1317" t="e">
        <f t="shared" si="156"/>
        <v>#N/A</v>
      </c>
      <c r="BP77" s="1317" t="e">
        <f t="shared" si="157"/>
        <v>#N/A</v>
      </c>
      <c r="BQ77" s="1317" t="e">
        <f t="shared" si="158"/>
        <v>#N/A</v>
      </c>
      <c r="BR77" s="1317" t="e">
        <f t="shared" si="159"/>
        <v>#N/A</v>
      </c>
      <c r="BS77" s="1317" t="e">
        <f t="shared" si="160"/>
        <v>#N/A</v>
      </c>
      <c r="BT77" s="1317" t="e">
        <f t="shared" si="161"/>
        <v>#N/A</v>
      </c>
      <c r="BU77" s="1317" t="e">
        <f t="shared" si="162"/>
        <v>#N/A</v>
      </c>
      <c r="BV77" s="1317" t="e">
        <f t="shared" si="163"/>
        <v>#N/A</v>
      </c>
      <c r="BW77" s="1317" t="e">
        <f t="shared" si="164"/>
        <v>#N/A</v>
      </c>
      <c r="BX77" s="1317" t="e">
        <f t="shared" si="165"/>
        <v>#N/A</v>
      </c>
      <c r="BY77" s="1317" t="e">
        <f t="shared" si="166"/>
        <v>#N/A</v>
      </c>
      <c r="BZ77" s="1318"/>
      <c r="CA77" s="1318"/>
      <c r="CB77" s="1318"/>
      <c r="CC77" s="1318"/>
      <c r="CD77" s="1318"/>
      <c r="CE77" s="1318"/>
      <c r="CF77" s="1318"/>
      <c r="CG77" s="1318"/>
      <c r="CH77" s="1318"/>
      <c r="CI77" s="1318"/>
      <c r="CJ77" s="1318"/>
      <c r="CK77" s="1318"/>
      <c r="CL77" s="1318"/>
      <c r="CM77" s="1318"/>
      <c r="CN77" s="1318"/>
      <c r="CO77" s="1318"/>
      <c r="CP77" s="1318"/>
      <c r="CQ77" s="1318"/>
      <c r="CR77" s="1318"/>
      <c r="CS77" s="1318"/>
      <c r="CT77" s="1318"/>
      <c r="CU77" s="1318"/>
      <c r="CV77" s="1318"/>
      <c r="CW77" s="1318"/>
      <c r="CX77" s="1318"/>
      <c r="CY77" s="1318"/>
      <c r="CZ77" s="1318"/>
      <c r="DA77" s="1318"/>
      <c r="DB77" s="1318"/>
      <c r="DC77" s="1318"/>
      <c r="DD77" s="1318"/>
      <c r="DE77" s="1318"/>
      <c r="DF77" s="1318"/>
      <c r="DG77" s="1318"/>
      <c r="DH77" s="1318"/>
      <c r="DI77" s="1318"/>
      <c r="DJ77" s="1318"/>
      <c r="DK77" s="1318"/>
      <c r="DL77" s="1318"/>
      <c r="DM77" s="1318"/>
      <c r="DN77" s="1318"/>
      <c r="DO77" s="1318"/>
      <c r="DP77" s="1318"/>
      <c r="DQ77" s="1318"/>
      <c r="DR77" s="1318"/>
      <c r="DS77" s="1318"/>
      <c r="DT77" s="1318"/>
      <c r="DU77" s="1318"/>
      <c r="DV77" s="1318"/>
      <c r="DW77" s="1318"/>
      <c r="DX77" s="1318"/>
      <c r="DY77" s="1318"/>
      <c r="DZ77" s="1318"/>
      <c r="EA77" s="1318"/>
      <c r="EB77" s="1318"/>
      <c r="EC77" s="1318"/>
      <c r="ED77" s="1318"/>
      <c r="EE77" s="1318"/>
      <c r="EF77" s="1318"/>
      <c r="EG77" s="1318"/>
      <c r="EH77" s="1318"/>
      <c r="EI77" s="1318"/>
      <c r="EJ77" s="1318"/>
      <c r="EK77" s="1318"/>
      <c r="EL77" s="1318"/>
      <c r="EM77" s="1318"/>
      <c r="EN77" s="1318"/>
      <c r="EO77" s="1318"/>
      <c r="EP77" s="1318"/>
      <c r="EQ77" s="1318"/>
      <c r="ER77" s="1318"/>
      <c r="ES77" s="1318"/>
      <c r="ET77" s="1318"/>
      <c r="EU77" s="1318"/>
      <c r="EV77" s="1318"/>
      <c r="EW77" s="1318"/>
      <c r="EX77" s="1318"/>
      <c r="EY77" s="1318"/>
      <c r="EZ77" s="1318"/>
      <c r="FA77" s="1318"/>
      <c r="FB77" s="1318"/>
      <c r="FC77" s="1318"/>
      <c r="FD77" s="1318"/>
      <c r="FE77" s="1318"/>
      <c r="FF77" s="1318"/>
      <c r="FG77" s="1318"/>
      <c r="FH77" s="1318"/>
      <c r="FI77" s="1318"/>
      <c r="FJ77" s="1318"/>
      <c r="FK77" s="1318"/>
      <c r="FL77" s="1318"/>
      <c r="FM77" s="1318"/>
      <c r="FN77" s="1318"/>
      <c r="FO77" s="1318"/>
      <c r="FP77" s="1318"/>
      <c r="FQ77" s="1318"/>
      <c r="FR77" s="1318"/>
      <c r="FS77" s="1318"/>
      <c r="FT77" s="1318"/>
      <c r="FU77" s="1318"/>
      <c r="FV77" s="1318"/>
      <c r="FW77" s="1318"/>
      <c r="FX77" s="1318"/>
      <c r="FY77" s="1318"/>
      <c r="FZ77" s="1318"/>
      <c r="GA77" s="1318"/>
      <c r="GB77" s="1318"/>
      <c r="GC77" s="1318"/>
      <c r="GD77" s="1318"/>
      <c r="GE77" s="1318"/>
      <c r="GF77" s="1318"/>
      <c r="GG77" s="1318"/>
      <c r="GH77" s="1318"/>
      <c r="GI77" s="1318"/>
      <c r="GJ77" s="1318"/>
      <c r="GK77" s="1318"/>
      <c r="GL77" s="1318"/>
      <c r="GM77" s="1318"/>
      <c r="GN77" s="1318"/>
      <c r="GO77" s="1318"/>
      <c r="GP77" s="1318"/>
      <c r="GQ77" s="1318"/>
      <c r="GR77" s="1318"/>
      <c r="GS77" s="1318"/>
      <c r="GT77" s="1318"/>
      <c r="GU77" s="1318"/>
      <c r="GV77" s="1318"/>
      <c r="GW77" s="1318"/>
      <c r="GX77" s="1318"/>
      <c r="GY77" s="1318"/>
      <c r="GZ77" s="1318"/>
      <c r="HA77" s="1318"/>
      <c r="HB77" s="1318"/>
      <c r="HC77" s="1318"/>
      <c r="HD77" s="1318"/>
      <c r="HE77" s="1318"/>
      <c r="HF77" s="1318"/>
      <c r="HG77" s="1318"/>
      <c r="HH77" s="1318"/>
      <c r="HI77" s="1318"/>
      <c r="HJ77" s="1318"/>
      <c r="HK77" s="1318"/>
      <c r="HL77" s="1318"/>
      <c r="HM77" s="1318"/>
      <c r="HN77" s="1318"/>
      <c r="HO77" s="1318"/>
      <c r="HP77" s="1318"/>
      <c r="HQ77" s="1318"/>
      <c r="HR77" s="1318"/>
      <c r="HS77" s="1318"/>
      <c r="HT77" s="1318"/>
      <c r="HU77" s="1318"/>
      <c r="HV77" s="1318"/>
      <c r="HW77" s="1318"/>
      <c r="HX77" s="1318"/>
      <c r="HY77" s="1318"/>
      <c r="HZ77" s="1318"/>
      <c r="IA77" s="1318"/>
      <c r="IB77" s="1318"/>
      <c r="IC77" s="1318"/>
      <c r="ID77" s="1318"/>
      <c r="IE77" s="1318"/>
      <c r="IF77" s="1318"/>
      <c r="IG77" s="1318"/>
      <c r="IH77" s="1318"/>
      <c r="II77" s="1318"/>
      <c r="IJ77" s="1318"/>
      <c r="IK77" s="1318"/>
      <c r="IL77" s="1318"/>
      <c r="IM77" s="1318"/>
      <c r="IN77" s="1318"/>
      <c r="IO77" s="1318"/>
      <c r="IP77" s="1318"/>
      <c r="IQ77" s="1318"/>
      <c r="IR77" s="1318"/>
      <c r="IS77" s="1318"/>
      <c r="IT77" s="1318"/>
      <c r="IU77" s="1318"/>
      <c r="IV77" s="1318"/>
      <c r="IW77" s="1318"/>
      <c r="IX77" s="1318"/>
      <c r="IY77" s="1318"/>
      <c r="IZ77" s="1318"/>
      <c r="JA77" s="1318"/>
      <c r="JB77" s="1318"/>
      <c r="JC77" s="1318"/>
      <c r="JD77" s="1318"/>
      <c r="JE77" s="1318"/>
      <c r="JF77" s="1318"/>
      <c r="JG77" s="1318"/>
      <c r="JH77" s="1318"/>
      <c r="JI77" s="1318"/>
      <c r="JJ77" s="1318"/>
      <c r="JK77" s="1318"/>
      <c r="JL77" s="1318"/>
      <c r="JM77" s="1318"/>
      <c r="JN77" s="1318"/>
      <c r="JO77" s="1318"/>
      <c r="JP77" s="1318"/>
      <c r="JQ77" s="1318"/>
      <c r="JR77" s="1318"/>
      <c r="JS77" s="1318"/>
      <c r="JT77" s="1318"/>
      <c r="JU77" s="1318"/>
      <c r="JV77" s="1318"/>
      <c r="JW77" s="1318"/>
      <c r="JX77" s="1318"/>
      <c r="JY77" s="1318"/>
      <c r="JZ77" s="1318"/>
      <c r="KA77" s="1318"/>
      <c r="KB77" s="1318"/>
      <c r="KC77" s="1318"/>
      <c r="KD77" s="1318"/>
      <c r="KE77" s="1318"/>
      <c r="KF77" s="1318"/>
      <c r="KG77" s="1318"/>
      <c r="KH77" s="1318"/>
      <c r="KI77" s="1318"/>
      <c r="KJ77" s="1318"/>
      <c r="KK77" s="1318"/>
      <c r="KL77" s="1318"/>
      <c r="KM77" s="1318"/>
      <c r="KN77" s="1318"/>
      <c r="KO77" s="1318"/>
      <c r="KP77" s="1318"/>
      <c r="KQ77" s="1318"/>
      <c r="KR77" s="1318"/>
      <c r="KS77" s="1318"/>
      <c r="KT77" s="1318"/>
      <c r="KU77" s="1318"/>
      <c r="KV77" s="1318"/>
    </row>
    <row r="78" spans="1:308" s="59" customFormat="1" ht="12" x14ac:dyDescent="0.2">
      <c r="A78" s="440" t="s">
        <v>101</v>
      </c>
      <c r="B78" s="1312">
        <v>2146</v>
      </c>
      <c r="C78" s="1316">
        <v>9500</v>
      </c>
      <c r="D78" s="1316">
        <f t="shared" ref="D78:D85" si="172">ROUNDUP(C78*(D$65+1),0)</f>
        <v>9880</v>
      </c>
      <c r="E78" s="1316">
        <f t="shared" ref="E78:E85" si="173">ROUNDUP(D78*(E$65+1),0)</f>
        <v>10305</v>
      </c>
      <c r="F78" s="1316">
        <f t="shared" ref="F78:F85" si="174">ROUNDUP(E78*(F$65+1),0)</f>
        <v>10615</v>
      </c>
      <c r="G78" s="1316">
        <f t="shared" ref="G78:G85" si="175">ROUNDUP(F78*(G$65+1),0)</f>
        <v>11008</v>
      </c>
      <c r="H78" s="1316">
        <f t="shared" ref="H78:H85" si="176">ROUNDUP(G78*(H$65+1),0)</f>
        <v>11449</v>
      </c>
      <c r="I78" s="1316">
        <f t="shared" ref="I78:I85" si="177">ROUNDUP(H78*(I$65+1),0)</f>
        <v>11907</v>
      </c>
      <c r="J78" s="1317">
        <f t="shared" ref="J78:J85" si="178">ROUNDUP(I78*(J$65+1),0)</f>
        <v>12384</v>
      </c>
      <c r="K78" s="1317" t="e">
        <f t="shared" ref="K78:K85" si="179">ROUNDUP(J78*(K$65+1),0)</f>
        <v>#N/A</v>
      </c>
      <c r="L78" s="1317" t="e">
        <f t="shared" ref="L78:L85" si="180">ROUNDUP(K78*(L$65+1),0)</f>
        <v>#N/A</v>
      </c>
      <c r="M78" s="1317" t="e">
        <f t="shared" ref="M78:M85" si="181">ROUNDUP(L78*(M$65+1),0)</f>
        <v>#N/A</v>
      </c>
      <c r="N78" s="1317" t="e">
        <f t="shared" ref="N78:N85" si="182">ROUNDUP(M78*(N$65+1),0)</f>
        <v>#N/A</v>
      </c>
      <c r="O78" s="1317" t="e">
        <f t="shared" ref="O78:O85" si="183">ROUNDUP(N78*(O$65+1),0)</f>
        <v>#N/A</v>
      </c>
      <c r="P78" s="1317" t="e">
        <f t="shared" ref="P78:P85" si="184">ROUNDUP(O78*(P$65+1),0)</f>
        <v>#N/A</v>
      </c>
      <c r="Q78" s="1317" t="e">
        <f t="shared" ref="Q78:Q85" si="185">ROUNDUP(P78*(Q$65+1),0)</f>
        <v>#N/A</v>
      </c>
      <c r="R78" s="1317" t="e">
        <f t="shared" ref="R78:R85" si="186">ROUNDUP(Q78*(R$65+1),0)</f>
        <v>#N/A</v>
      </c>
      <c r="S78" s="1317" t="e">
        <f t="shared" ref="S78:S85" si="187">ROUNDUP(R78*(S$65+1),0)</f>
        <v>#N/A</v>
      </c>
      <c r="T78" s="1317" t="e">
        <f t="shared" ref="T78:T85" si="188">ROUNDUP(S78*(T$65+1),0)</f>
        <v>#N/A</v>
      </c>
      <c r="U78" s="1317" t="e">
        <f t="shared" ref="U78:U85" si="189">ROUNDUP(T78*(U$65+1),0)</f>
        <v>#N/A</v>
      </c>
      <c r="V78" s="1317" t="e">
        <f t="shared" ref="V78:V85" si="190">ROUNDUP(U78*(V$65+1),0)</f>
        <v>#N/A</v>
      </c>
      <c r="W78" s="1317" t="e">
        <f t="shared" ref="W78:W85" si="191">ROUNDUP(V78*(W$65+1),0)</f>
        <v>#N/A</v>
      </c>
      <c r="X78" s="1317" t="e">
        <f t="shared" ref="X78:X85" si="192">ROUNDUP(W78*(X$65+1),0)</f>
        <v>#N/A</v>
      </c>
      <c r="Y78" s="1317" t="e">
        <f t="shared" ref="Y78:Y85" si="193">ROUNDUP(X78*(Y$65+1),0)</f>
        <v>#N/A</v>
      </c>
      <c r="Z78" s="1317" t="e">
        <f t="shared" si="115"/>
        <v>#N/A</v>
      </c>
      <c r="AA78" s="1317" t="e">
        <f t="shared" si="116"/>
        <v>#N/A</v>
      </c>
      <c r="AB78" s="1317" t="e">
        <f t="shared" si="117"/>
        <v>#N/A</v>
      </c>
      <c r="AC78" s="1317" t="e">
        <f t="shared" si="118"/>
        <v>#N/A</v>
      </c>
      <c r="AD78" s="1317" t="e">
        <f t="shared" si="119"/>
        <v>#N/A</v>
      </c>
      <c r="AE78" s="1317" t="e">
        <f t="shared" si="120"/>
        <v>#N/A</v>
      </c>
      <c r="AF78" s="1317" t="e">
        <f t="shared" si="121"/>
        <v>#N/A</v>
      </c>
      <c r="AG78" s="1317" t="e">
        <f t="shared" si="122"/>
        <v>#N/A</v>
      </c>
      <c r="AH78" s="1317" t="e">
        <f t="shared" si="123"/>
        <v>#N/A</v>
      </c>
      <c r="AI78" s="1317" t="e">
        <f t="shared" si="124"/>
        <v>#N/A</v>
      </c>
      <c r="AJ78" s="1317" t="e">
        <f t="shared" si="125"/>
        <v>#N/A</v>
      </c>
      <c r="AK78" s="1317" t="e">
        <f t="shared" si="126"/>
        <v>#N/A</v>
      </c>
      <c r="AL78" s="1317" t="e">
        <f t="shared" si="127"/>
        <v>#N/A</v>
      </c>
      <c r="AM78" s="1317" t="e">
        <f t="shared" si="128"/>
        <v>#N/A</v>
      </c>
      <c r="AN78" s="1317" t="e">
        <f t="shared" si="129"/>
        <v>#N/A</v>
      </c>
      <c r="AO78" s="1317" t="e">
        <f t="shared" si="130"/>
        <v>#N/A</v>
      </c>
      <c r="AP78" s="1317" t="e">
        <f t="shared" si="131"/>
        <v>#N/A</v>
      </c>
      <c r="AQ78" s="1317" t="e">
        <f t="shared" si="132"/>
        <v>#N/A</v>
      </c>
      <c r="AR78" s="1317" t="e">
        <f t="shared" si="133"/>
        <v>#N/A</v>
      </c>
      <c r="AS78" s="1317" t="e">
        <f t="shared" si="134"/>
        <v>#N/A</v>
      </c>
      <c r="AT78" s="1317" t="e">
        <f t="shared" si="135"/>
        <v>#N/A</v>
      </c>
      <c r="AU78" s="1317" t="e">
        <f t="shared" si="136"/>
        <v>#N/A</v>
      </c>
      <c r="AV78" s="1317" t="e">
        <f t="shared" si="137"/>
        <v>#N/A</v>
      </c>
      <c r="AW78" s="1317" t="e">
        <f t="shared" si="138"/>
        <v>#N/A</v>
      </c>
      <c r="AX78" s="1317" t="e">
        <f t="shared" si="139"/>
        <v>#N/A</v>
      </c>
      <c r="AY78" s="1317" t="e">
        <f t="shared" si="140"/>
        <v>#N/A</v>
      </c>
      <c r="AZ78" s="1317" t="e">
        <f t="shared" si="141"/>
        <v>#N/A</v>
      </c>
      <c r="BA78" s="1317" t="e">
        <f t="shared" si="142"/>
        <v>#N/A</v>
      </c>
      <c r="BB78" s="1317" t="e">
        <f t="shared" si="143"/>
        <v>#N/A</v>
      </c>
      <c r="BC78" s="1317" t="e">
        <f t="shared" si="144"/>
        <v>#N/A</v>
      </c>
      <c r="BD78" s="1317" t="e">
        <f t="shared" si="145"/>
        <v>#N/A</v>
      </c>
      <c r="BE78" s="1317" t="e">
        <f t="shared" si="146"/>
        <v>#N/A</v>
      </c>
      <c r="BF78" s="1317" t="e">
        <f t="shared" si="147"/>
        <v>#N/A</v>
      </c>
      <c r="BG78" s="1317" t="e">
        <f t="shared" si="148"/>
        <v>#N/A</v>
      </c>
      <c r="BH78" s="1317" t="e">
        <f t="shared" si="149"/>
        <v>#N/A</v>
      </c>
      <c r="BI78" s="1317" t="e">
        <f t="shared" si="150"/>
        <v>#N/A</v>
      </c>
      <c r="BJ78" s="1317" t="e">
        <f t="shared" si="151"/>
        <v>#N/A</v>
      </c>
      <c r="BK78" s="1317" t="e">
        <f t="shared" si="152"/>
        <v>#N/A</v>
      </c>
      <c r="BL78" s="1317" t="e">
        <f t="shared" si="153"/>
        <v>#N/A</v>
      </c>
      <c r="BM78" s="1317" t="e">
        <f t="shared" si="154"/>
        <v>#N/A</v>
      </c>
      <c r="BN78" s="1317" t="e">
        <f t="shared" si="155"/>
        <v>#N/A</v>
      </c>
      <c r="BO78" s="1317" t="e">
        <f t="shared" si="156"/>
        <v>#N/A</v>
      </c>
      <c r="BP78" s="1317" t="e">
        <f t="shared" si="157"/>
        <v>#N/A</v>
      </c>
      <c r="BQ78" s="1317" t="e">
        <f t="shared" si="158"/>
        <v>#N/A</v>
      </c>
      <c r="BR78" s="1317" t="e">
        <f t="shared" si="159"/>
        <v>#N/A</v>
      </c>
      <c r="BS78" s="1317" t="e">
        <f t="shared" si="160"/>
        <v>#N/A</v>
      </c>
      <c r="BT78" s="1317" t="e">
        <f t="shared" si="161"/>
        <v>#N/A</v>
      </c>
      <c r="BU78" s="1317" t="e">
        <f t="shared" si="162"/>
        <v>#N/A</v>
      </c>
      <c r="BV78" s="1317" t="e">
        <f t="shared" si="163"/>
        <v>#N/A</v>
      </c>
      <c r="BW78" s="1317" t="e">
        <f t="shared" si="164"/>
        <v>#N/A</v>
      </c>
      <c r="BX78" s="1317" t="e">
        <f t="shared" si="165"/>
        <v>#N/A</v>
      </c>
      <c r="BY78" s="1317" t="e">
        <f t="shared" si="166"/>
        <v>#N/A</v>
      </c>
      <c r="BZ78" s="1318"/>
      <c r="CA78" s="1318"/>
      <c r="CB78" s="1318"/>
      <c r="CC78" s="1318"/>
      <c r="CD78" s="1318"/>
      <c r="CE78" s="1318"/>
      <c r="CF78" s="1318"/>
      <c r="CG78" s="1318"/>
      <c r="CH78" s="1318"/>
      <c r="CI78" s="1318"/>
      <c r="CJ78" s="1318"/>
      <c r="CK78" s="1318"/>
      <c r="CL78" s="1318"/>
      <c r="CM78" s="1318"/>
      <c r="CN78" s="1318"/>
      <c r="CO78" s="1318"/>
      <c r="CP78" s="1318"/>
      <c r="CQ78" s="1318"/>
      <c r="CR78" s="1318"/>
      <c r="CS78" s="1318"/>
      <c r="CT78" s="1318"/>
      <c r="CU78" s="1318"/>
      <c r="CV78" s="1318"/>
      <c r="CW78" s="1318"/>
      <c r="CX78" s="1318"/>
      <c r="CY78" s="1318"/>
      <c r="CZ78" s="1318"/>
      <c r="DA78" s="1318"/>
      <c r="DB78" s="1318"/>
      <c r="DC78" s="1318"/>
      <c r="DD78" s="1318"/>
      <c r="DE78" s="1318"/>
      <c r="DF78" s="1318"/>
      <c r="DG78" s="1318"/>
      <c r="DH78" s="1318"/>
      <c r="DI78" s="1318"/>
      <c r="DJ78" s="1318"/>
      <c r="DK78" s="1318"/>
      <c r="DL78" s="1318"/>
      <c r="DM78" s="1318"/>
      <c r="DN78" s="1318"/>
      <c r="DO78" s="1318"/>
      <c r="DP78" s="1318"/>
      <c r="DQ78" s="1318"/>
      <c r="DR78" s="1318"/>
      <c r="DS78" s="1318"/>
      <c r="DT78" s="1318"/>
      <c r="DU78" s="1318"/>
      <c r="DV78" s="1318"/>
      <c r="DW78" s="1318"/>
      <c r="DX78" s="1318"/>
      <c r="DY78" s="1318"/>
      <c r="DZ78" s="1318"/>
      <c r="EA78" s="1318"/>
      <c r="EB78" s="1318"/>
      <c r="EC78" s="1318"/>
      <c r="ED78" s="1318"/>
      <c r="EE78" s="1318"/>
      <c r="EF78" s="1318"/>
      <c r="EG78" s="1318"/>
      <c r="EH78" s="1318"/>
      <c r="EI78" s="1318"/>
      <c r="EJ78" s="1318"/>
      <c r="EK78" s="1318"/>
      <c r="EL78" s="1318"/>
      <c r="EM78" s="1318"/>
      <c r="EN78" s="1318"/>
      <c r="EO78" s="1318"/>
      <c r="EP78" s="1318"/>
      <c r="EQ78" s="1318"/>
      <c r="ER78" s="1318"/>
      <c r="ES78" s="1318"/>
      <c r="ET78" s="1318"/>
      <c r="EU78" s="1318"/>
      <c r="EV78" s="1318"/>
      <c r="EW78" s="1318"/>
      <c r="EX78" s="1318"/>
      <c r="EY78" s="1318"/>
      <c r="EZ78" s="1318"/>
      <c r="FA78" s="1318"/>
      <c r="FB78" s="1318"/>
      <c r="FC78" s="1318"/>
      <c r="FD78" s="1318"/>
      <c r="FE78" s="1318"/>
      <c r="FF78" s="1318"/>
      <c r="FG78" s="1318"/>
      <c r="FH78" s="1318"/>
      <c r="FI78" s="1318"/>
      <c r="FJ78" s="1318"/>
      <c r="FK78" s="1318"/>
      <c r="FL78" s="1318"/>
      <c r="FM78" s="1318"/>
      <c r="FN78" s="1318"/>
      <c r="FO78" s="1318"/>
      <c r="FP78" s="1318"/>
      <c r="FQ78" s="1318"/>
      <c r="FR78" s="1318"/>
      <c r="FS78" s="1318"/>
      <c r="FT78" s="1318"/>
      <c r="FU78" s="1318"/>
      <c r="FV78" s="1318"/>
      <c r="FW78" s="1318"/>
      <c r="FX78" s="1318"/>
      <c r="FY78" s="1318"/>
      <c r="FZ78" s="1318"/>
      <c r="GA78" s="1318"/>
      <c r="GB78" s="1318"/>
      <c r="GC78" s="1318"/>
      <c r="GD78" s="1318"/>
      <c r="GE78" s="1318"/>
      <c r="GF78" s="1318"/>
      <c r="GG78" s="1318"/>
      <c r="GH78" s="1318"/>
      <c r="GI78" s="1318"/>
      <c r="GJ78" s="1318"/>
      <c r="GK78" s="1318"/>
      <c r="GL78" s="1318"/>
      <c r="GM78" s="1318"/>
      <c r="GN78" s="1318"/>
      <c r="GO78" s="1318"/>
      <c r="GP78" s="1318"/>
      <c r="GQ78" s="1318"/>
      <c r="GR78" s="1318"/>
      <c r="GS78" s="1318"/>
      <c r="GT78" s="1318"/>
      <c r="GU78" s="1318"/>
      <c r="GV78" s="1318"/>
      <c r="GW78" s="1318"/>
      <c r="GX78" s="1318"/>
      <c r="GY78" s="1318"/>
      <c r="GZ78" s="1318"/>
      <c r="HA78" s="1318"/>
      <c r="HB78" s="1318"/>
      <c r="HC78" s="1318"/>
      <c r="HD78" s="1318"/>
      <c r="HE78" s="1318"/>
      <c r="HF78" s="1318"/>
      <c r="HG78" s="1318"/>
      <c r="HH78" s="1318"/>
      <c r="HI78" s="1318"/>
      <c r="HJ78" s="1318"/>
      <c r="HK78" s="1318"/>
      <c r="HL78" s="1318"/>
      <c r="HM78" s="1318"/>
      <c r="HN78" s="1318"/>
      <c r="HO78" s="1318"/>
      <c r="HP78" s="1318"/>
      <c r="HQ78" s="1318"/>
      <c r="HR78" s="1318"/>
      <c r="HS78" s="1318"/>
      <c r="HT78" s="1318"/>
      <c r="HU78" s="1318"/>
      <c r="HV78" s="1318"/>
      <c r="HW78" s="1318"/>
      <c r="HX78" s="1318"/>
      <c r="HY78" s="1318"/>
      <c r="HZ78" s="1318"/>
      <c r="IA78" s="1318"/>
      <c r="IB78" s="1318"/>
      <c r="IC78" s="1318"/>
      <c r="ID78" s="1318"/>
      <c r="IE78" s="1318"/>
      <c r="IF78" s="1318"/>
      <c r="IG78" s="1318"/>
      <c r="IH78" s="1318"/>
      <c r="II78" s="1318"/>
      <c r="IJ78" s="1318"/>
      <c r="IK78" s="1318"/>
      <c r="IL78" s="1318"/>
      <c r="IM78" s="1318"/>
      <c r="IN78" s="1318"/>
      <c r="IO78" s="1318"/>
      <c r="IP78" s="1318"/>
      <c r="IQ78" s="1318"/>
      <c r="IR78" s="1318"/>
      <c r="IS78" s="1318"/>
      <c r="IT78" s="1318"/>
      <c r="IU78" s="1318"/>
      <c r="IV78" s="1318"/>
      <c r="IW78" s="1318"/>
      <c r="IX78" s="1318"/>
      <c r="IY78" s="1318"/>
      <c r="IZ78" s="1318"/>
      <c r="JA78" s="1318"/>
      <c r="JB78" s="1318"/>
      <c r="JC78" s="1318"/>
      <c r="JD78" s="1318"/>
      <c r="JE78" s="1318"/>
      <c r="JF78" s="1318"/>
      <c r="JG78" s="1318"/>
      <c r="JH78" s="1318"/>
      <c r="JI78" s="1318"/>
      <c r="JJ78" s="1318"/>
      <c r="JK78" s="1318"/>
      <c r="JL78" s="1318"/>
      <c r="JM78" s="1318"/>
      <c r="JN78" s="1318"/>
      <c r="JO78" s="1318"/>
      <c r="JP78" s="1318"/>
      <c r="JQ78" s="1318"/>
      <c r="JR78" s="1318"/>
      <c r="JS78" s="1318"/>
      <c r="JT78" s="1318"/>
      <c r="JU78" s="1318"/>
      <c r="JV78" s="1318"/>
      <c r="JW78" s="1318"/>
      <c r="JX78" s="1318"/>
      <c r="JY78" s="1318"/>
      <c r="JZ78" s="1318"/>
      <c r="KA78" s="1318"/>
      <c r="KB78" s="1318"/>
      <c r="KC78" s="1318"/>
      <c r="KD78" s="1318"/>
      <c r="KE78" s="1318"/>
      <c r="KF78" s="1318"/>
      <c r="KG78" s="1318"/>
      <c r="KH78" s="1318"/>
      <c r="KI78" s="1318"/>
      <c r="KJ78" s="1318"/>
      <c r="KK78" s="1318"/>
      <c r="KL78" s="1318"/>
      <c r="KM78" s="1318"/>
      <c r="KN78" s="1318"/>
      <c r="KO78" s="1318"/>
      <c r="KP78" s="1318"/>
      <c r="KQ78" s="1318"/>
      <c r="KR78" s="1318"/>
      <c r="KS78" s="1318"/>
      <c r="KT78" s="1318"/>
      <c r="KU78" s="1318"/>
      <c r="KV78" s="1318"/>
    </row>
    <row r="79" spans="1:308" s="59" customFormat="1" ht="12" x14ac:dyDescent="0.2">
      <c r="A79" s="440" t="s">
        <v>103</v>
      </c>
      <c r="B79" s="1312">
        <v>2080</v>
      </c>
      <c r="C79" s="1316">
        <v>8500</v>
      </c>
      <c r="D79" s="1316">
        <f t="shared" si="172"/>
        <v>8840</v>
      </c>
      <c r="E79" s="1316">
        <f t="shared" si="173"/>
        <v>9221</v>
      </c>
      <c r="F79" s="1316">
        <f t="shared" si="174"/>
        <v>9498</v>
      </c>
      <c r="G79" s="1316">
        <f t="shared" si="175"/>
        <v>9850</v>
      </c>
      <c r="H79" s="1316">
        <f t="shared" si="176"/>
        <v>10244</v>
      </c>
      <c r="I79" s="1316">
        <f t="shared" si="177"/>
        <v>10654</v>
      </c>
      <c r="J79" s="1317">
        <f t="shared" si="178"/>
        <v>11081</v>
      </c>
      <c r="K79" s="1317" t="e">
        <f t="shared" si="179"/>
        <v>#N/A</v>
      </c>
      <c r="L79" s="1317" t="e">
        <f t="shared" si="180"/>
        <v>#N/A</v>
      </c>
      <c r="M79" s="1317" t="e">
        <f t="shared" si="181"/>
        <v>#N/A</v>
      </c>
      <c r="N79" s="1317" t="e">
        <f t="shared" si="182"/>
        <v>#N/A</v>
      </c>
      <c r="O79" s="1317" t="e">
        <f t="shared" si="183"/>
        <v>#N/A</v>
      </c>
      <c r="P79" s="1317" t="e">
        <f t="shared" si="184"/>
        <v>#N/A</v>
      </c>
      <c r="Q79" s="1317" t="e">
        <f t="shared" si="185"/>
        <v>#N/A</v>
      </c>
      <c r="R79" s="1317" t="e">
        <f t="shared" si="186"/>
        <v>#N/A</v>
      </c>
      <c r="S79" s="1317" t="e">
        <f t="shared" si="187"/>
        <v>#N/A</v>
      </c>
      <c r="T79" s="1317" t="e">
        <f t="shared" si="188"/>
        <v>#N/A</v>
      </c>
      <c r="U79" s="1317" t="e">
        <f t="shared" si="189"/>
        <v>#N/A</v>
      </c>
      <c r="V79" s="1317" t="e">
        <f t="shared" si="190"/>
        <v>#N/A</v>
      </c>
      <c r="W79" s="1317" t="e">
        <f t="shared" si="191"/>
        <v>#N/A</v>
      </c>
      <c r="X79" s="1317" t="e">
        <f t="shared" si="192"/>
        <v>#N/A</v>
      </c>
      <c r="Y79" s="1317" t="e">
        <f t="shared" si="193"/>
        <v>#N/A</v>
      </c>
      <c r="Z79" s="1317" t="e">
        <f t="shared" si="115"/>
        <v>#N/A</v>
      </c>
      <c r="AA79" s="1317" t="e">
        <f t="shared" si="116"/>
        <v>#N/A</v>
      </c>
      <c r="AB79" s="1317" t="e">
        <f t="shared" si="117"/>
        <v>#N/A</v>
      </c>
      <c r="AC79" s="1317" t="e">
        <f t="shared" si="118"/>
        <v>#N/A</v>
      </c>
      <c r="AD79" s="1317" t="e">
        <f t="shared" si="119"/>
        <v>#N/A</v>
      </c>
      <c r="AE79" s="1317" t="e">
        <f t="shared" si="120"/>
        <v>#N/A</v>
      </c>
      <c r="AF79" s="1317" t="e">
        <f t="shared" si="121"/>
        <v>#N/A</v>
      </c>
      <c r="AG79" s="1317" t="e">
        <f t="shared" si="122"/>
        <v>#N/A</v>
      </c>
      <c r="AH79" s="1317" t="e">
        <f t="shared" si="123"/>
        <v>#N/A</v>
      </c>
      <c r="AI79" s="1317" t="e">
        <f t="shared" si="124"/>
        <v>#N/A</v>
      </c>
      <c r="AJ79" s="1317" t="e">
        <f t="shared" si="125"/>
        <v>#N/A</v>
      </c>
      <c r="AK79" s="1317" t="e">
        <f t="shared" si="126"/>
        <v>#N/A</v>
      </c>
      <c r="AL79" s="1317" t="e">
        <f t="shared" si="127"/>
        <v>#N/A</v>
      </c>
      <c r="AM79" s="1317" t="e">
        <f t="shared" si="128"/>
        <v>#N/A</v>
      </c>
      <c r="AN79" s="1317" t="e">
        <f t="shared" si="129"/>
        <v>#N/A</v>
      </c>
      <c r="AO79" s="1317" t="e">
        <f t="shared" si="130"/>
        <v>#N/A</v>
      </c>
      <c r="AP79" s="1317" t="e">
        <f t="shared" si="131"/>
        <v>#N/A</v>
      </c>
      <c r="AQ79" s="1317" t="e">
        <f t="shared" si="132"/>
        <v>#N/A</v>
      </c>
      <c r="AR79" s="1317" t="e">
        <f t="shared" si="133"/>
        <v>#N/A</v>
      </c>
      <c r="AS79" s="1317" t="e">
        <f t="shared" si="134"/>
        <v>#N/A</v>
      </c>
      <c r="AT79" s="1317" t="e">
        <f t="shared" si="135"/>
        <v>#N/A</v>
      </c>
      <c r="AU79" s="1317" t="e">
        <f t="shared" si="136"/>
        <v>#N/A</v>
      </c>
      <c r="AV79" s="1317" t="e">
        <f t="shared" si="137"/>
        <v>#N/A</v>
      </c>
      <c r="AW79" s="1317" t="e">
        <f t="shared" si="138"/>
        <v>#N/A</v>
      </c>
      <c r="AX79" s="1317" t="e">
        <f t="shared" si="139"/>
        <v>#N/A</v>
      </c>
      <c r="AY79" s="1317" t="e">
        <f t="shared" si="140"/>
        <v>#N/A</v>
      </c>
      <c r="AZ79" s="1317" t="e">
        <f t="shared" si="141"/>
        <v>#N/A</v>
      </c>
      <c r="BA79" s="1317" t="e">
        <f t="shared" si="142"/>
        <v>#N/A</v>
      </c>
      <c r="BB79" s="1317" t="e">
        <f t="shared" si="143"/>
        <v>#N/A</v>
      </c>
      <c r="BC79" s="1317" t="e">
        <f t="shared" si="144"/>
        <v>#N/A</v>
      </c>
      <c r="BD79" s="1317" t="e">
        <f t="shared" si="145"/>
        <v>#N/A</v>
      </c>
      <c r="BE79" s="1317" t="e">
        <f t="shared" si="146"/>
        <v>#N/A</v>
      </c>
      <c r="BF79" s="1317" t="e">
        <f t="shared" si="147"/>
        <v>#N/A</v>
      </c>
      <c r="BG79" s="1317" t="e">
        <f t="shared" si="148"/>
        <v>#N/A</v>
      </c>
      <c r="BH79" s="1317" t="e">
        <f t="shared" si="149"/>
        <v>#N/A</v>
      </c>
      <c r="BI79" s="1317" t="e">
        <f t="shared" si="150"/>
        <v>#N/A</v>
      </c>
      <c r="BJ79" s="1317" t="e">
        <f t="shared" si="151"/>
        <v>#N/A</v>
      </c>
      <c r="BK79" s="1317" t="e">
        <f t="shared" si="152"/>
        <v>#N/A</v>
      </c>
      <c r="BL79" s="1317" t="e">
        <f t="shared" si="153"/>
        <v>#N/A</v>
      </c>
      <c r="BM79" s="1317" t="e">
        <f t="shared" si="154"/>
        <v>#N/A</v>
      </c>
      <c r="BN79" s="1317" t="e">
        <f t="shared" si="155"/>
        <v>#N/A</v>
      </c>
      <c r="BO79" s="1317" t="e">
        <f t="shared" si="156"/>
        <v>#N/A</v>
      </c>
      <c r="BP79" s="1317" t="e">
        <f t="shared" si="157"/>
        <v>#N/A</v>
      </c>
      <c r="BQ79" s="1317" t="e">
        <f t="shared" si="158"/>
        <v>#N/A</v>
      </c>
      <c r="BR79" s="1317" t="e">
        <f t="shared" si="159"/>
        <v>#N/A</v>
      </c>
      <c r="BS79" s="1317" t="e">
        <f t="shared" si="160"/>
        <v>#N/A</v>
      </c>
      <c r="BT79" s="1317" t="e">
        <f t="shared" si="161"/>
        <v>#N/A</v>
      </c>
      <c r="BU79" s="1317" t="e">
        <f t="shared" si="162"/>
        <v>#N/A</v>
      </c>
      <c r="BV79" s="1317" t="e">
        <f t="shared" si="163"/>
        <v>#N/A</v>
      </c>
      <c r="BW79" s="1317" t="e">
        <f t="shared" si="164"/>
        <v>#N/A</v>
      </c>
      <c r="BX79" s="1317" t="e">
        <f t="shared" si="165"/>
        <v>#N/A</v>
      </c>
      <c r="BY79" s="1317" t="e">
        <f t="shared" si="166"/>
        <v>#N/A</v>
      </c>
      <c r="BZ79" s="1318"/>
      <c r="CA79" s="1318"/>
      <c r="CB79" s="1318"/>
      <c r="CC79" s="1318"/>
      <c r="CD79" s="1318"/>
      <c r="CE79" s="1318"/>
      <c r="CF79" s="1318"/>
      <c r="CG79" s="1318"/>
      <c r="CH79" s="1318"/>
      <c r="CI79" s="1318"/>
      <c r="CJ79" s="1318"/>
      <c r="CK79" s="1318"/>
      <c r="CL79" s="1318"/>
      <c r="CM79" s="1318"/>
      <c r="CN79" s="1318"/>
      <c r="CO79" s="1318"/>
      <c r="CP79" s="1318"/>
      <c r="CQ79" s="1318"/>
      <c r="CR79" s="1318"/>
      <c r="CS79" s="1318"/>
      <c r="CT79" s="1318"/>
      <c r="CU79" s="1318"/>
      <c r="CV79" s="1318"/>
      <c r="CW79" s="1318"/>
      <c r="CX79" s="1318"/>
      <c r="CY79" s="1318"/>
      <c r="CZ79" s="1318"/>
      <c r="DA79" s="1318"/>
      <c r="DB79" s="1318"/>
      <c r="DC79" s="1318"/>
      <c r="DD79" s="1318"/>
      <c r="DE79" s="1318"/>
      <c r="DF79" s="1318"/>
      <c r="DG79" s="1318"/>
      <c r="DH79" s="1318"/>
      <c r="DI79" s="1318"/>
      <c r="DJ79" s="1318"/>
      <c r="DK79" s="1318"/>
      <c r="DL79" s="1318"/>
      <c r="DM79" s="1318"/>
      <c r="DN79" s="1318"/>
      <c r="DO79" s="1318"/>
      <c r="DP79" s="1318"/>
      <c r="DQ79" s="1318"/>
      <c r="DR79" s="1318"/>
      <c r="DS79" s="1318"/>
      <c r="DT79" s="1318"/>
      <c r="DU79" s="1318"/>
      <c r="DV79" s="1318"/>
      <c r="DW79" s="1318"/>
      <c r="DX79" s="1318"/>
      <c r="DY79" s="1318"/>
      <c r="DZ79" s="1318"/>
      <c r="EA79" s="1318"/>
      <c r="EB79" s="1318"/>
      <c r="EC79" s="1318"/>
      <c r="ED79" s="1318"/>
      <c r="EE79" s="1318"/>
      <c r="EF79" s="1318"/>
      <c r="EG79" s="1318"/>
      <c r="EH79" s="1318"/>
      <c r="EI79" s="1318"/>
      <c r="EJ79" s="1318"/>
      <c r="EK79" s="1318"/>
      <c r="EL79" s="1318"/>
      <c r="EM79" s="1318"/>
      <c r="EN79" s="1318"/>
      <c r="EO79" s="1318"/>
      <c r="EP79" s="1318"/>
      <c r="EQ79" s="1318"/>
      <c r="ER79" s="1318"/>
      <c r="ES79" s="1318"/>
      <c r="ET79" s="1318"/>
      <c r="EU79" s="1318"/>
      <c r="EV79" s="1318"/>
      <c r="EW79" s="1318"/>
      <c r="EX79" s="1318"/>
      <c r="EY79" s="1318"/>
      <c r="EZ79" s="1318"/>
      <c r="FA79" s="1318"/>
      <c r="FB79" s="1318"/>
      <c r="FC79" s="1318"/>
      <c r="FD79" s="1318"/>
      <c r="FE79" s="1318"/>
      <c r="FF79" s="1318"/>
      <c r="FG79" s="1318"/>
      <c r="FH79" s="1318"/>
      <c r="FI79" s="1318"/>
      <c r="FJ79" s="1318"/>
      <c r="FK79" s="1318"/>
      <c r="FL79" s="1318"/>
      <c r="FM79" s="1318"/>
      <c r="FN79" s="1318"/>
      <c r="FO79" s="1318"/>
      <c r="FP79" s="1318"/>
      <c r="FQ79" s="1318"/>
      <c r="FR79" s="1318"/>
      <c r="FS79" s="1318"/>
      <c r="FT79" s="1318"/>
      <c r="FU79" s="1318"/>
      <c r="FV79" s="1318"/>
      <c r="FW79" s="1318"/>
      <c r="FX79" s="1318"/>
      <c r="FY79" s="1318"/>
      <c r="FZ79" s="1318"/>
      <c r="GA79" s="1318"/>
      <c r="GB79" s="1318"/>
      <c r="GC79" s="1318"/>
      <c r="GD79" s="1318"/>
      <c r="GE79" s="1318"/>
      <c r="GF79" s="1318"/>
      <c r="GG79" s="1318"/>
      <c r="GH79" s="1318"/>
      <c r="GI79" s="1318"/>
      <c r="GJ79" s="1318"/>
      <c r="GK79" s="1318"/>
      <c r="GL79" s="1318"/>
      <c r="GM79" s="1318"/>
      <c r="GN79" s="1318"/>
      <c r="GO79" s="1318"/>
      <c r="GP79" s="1318"/>
      <c r="GQ79" s="1318"/>
      <c r="GR79" s="1318"/>
      <c r="GS79" s="1318"/>
      <c r="GT79" s="1318"/>
      <c r="GU79" s="1318"/>
      <c r="GV79" s="1318"/>
      <c r="GW79" s="1318"/>
      <c r="GX79" s="1318"/>
      <c r="GY79" s="1318"/>
      <c r="GZ79" s="1318"/>
      <c r="HA79" s="1318"/>
      <c r="HB79" s="1318"/>
      <c r="HC79" s="1318"/>
      <c r="HD79" s="1318"/>
      <c r="HE79" s="1318"/>
      <c r="HF79" s="1318"/>
      <c r="HG79" s="1318"/>
      <c r="HH79" s="1318"/>
      <c r="HI79" s="1318"/>
      <c r="HJ79" s="1318"/>
      <c r="HK79" s="1318"/>
      <c r="HL79" s="1318"/>
      <c r="HM79" s="1318"/>
      <c r="HN79" s="1318"/>
      <c r="HO79" s="1318"/>
      <c r="HP79" s="1318"/>
      <c r="HQ79" s="1318"/>
      <c r="HR79" s="1318"/>
      <c r="HS79" s="1318"/>
      <c r="HT79" s="1318"/>
      <c r="HU79" s="1318"/>
      <c r="HV79" s="1318"/>
      <c r="HW79" s="1318"/>
      <c r="HX79" s="1318"/>
      <c r="HY79" s="1318"/>
      <c r="HZ79" s="1318"/>
      <c r="IA79" s="1318"/>
      <c r="IB79" s="1318"/>
      <c r="IC79" s="1318"/>
      <c r="ID79" s="1318"/>
      <c r="IE79" s="1318"/>
      <c r="IF79" s="1318"/>
      <c r="IG79" s="1318"/>
      <c r="IH79" s="1318"/>
      <c r="II79" s="1318"/>
      <c r="IJ79" s="1318"/>
      <c r="IK79" s="1318"/>
      <c r="IL79" s="1318"/>
      <c r="IM79" s="1318"/>
      <c r="IN79" s="1318"/>
      <c r="IO79" s="1318"/>
      <c r="IP79" s="1318"/>
      <c r="IQ79" s="1318"/>
      <c r="IR79" s="1318"/>
      <c r="IS79" s="1318"/>
      <c r="IT79" s="1318"/>
      <c r="IU79" s="1318"/>
      <c r="IV79" s="1318"/>
      <c r="IW79" s="1318"/>
      <c r="IX79" s="1318"/>
      <c r="IY79" s="1318"/>
      <c r="IZ79" s="1318"/>
      <c r="JA79" s="1318"/>
      <c r="JB79" s="1318"/>
      <c r="JC79" s="1318"/>
      <c r="JD79" s="1318"/>
      <c r="JE79" s="1318"/>
      <c r="JF79" s="1318"/>
      <c r="JG79" s="1318"/>
      <c r="JH79" s="1318"/>
      <c r="JI79" s="1318"/>
      <c r="JJ79" s="1318"/>
      <c r="JK79" s="1318"/>
      <c r="JL79" s="1318"/>
      <c r="JM79" s="1318"/>
      <c r="JN79" s="1318"/>
      <c r="JO79" s="1318"/>
      <c r="JP79" s="1318"/>
      <c r="JQ79" s="1318"/>
      <c r="JR79" s="1318"/>
      <c r="JS79" s="1318"/>
      <c r="JT79" s="1318"/>
      <c r="JU79" s="1318"/>
      <c r="JV79" s="1318"/>
      <c r="JW79" s="1318"/>
      <c r="JX79" s="1318"/>
      <c r="JY79" s="1318"/>
      <c r="JZ79" s="1318"/>
      <c r="KA79" s="1318"/>
      <c r="KB79" s="1318"/>
      <c r="KC79" s="1318"/>
      <c r="KD79" s="1318"/>
      <c r="KE79" s="1318"/>
      <c r="KF79" s="1318"/>
      <c r="KG79" s="1318"/>
      <c r="KH79" s="1318"/>
      <c r="KI79" s="1318"/>
      <c r="KJ79" s="1318"/>
      <c r="KK79" s="1318"/>
      <c r="KL79" s="1318"/>
      <c r="KM79" s="1318"/>
      <c r="KN79" s="1318"/>
      <c r="KO79" s="1318"/>
      <c r="KP79" s="1318"/>
      <c r="KQ79" s="1318"/>
      <c r="KR79" s="1318"/>
      <c r="KS79" s="1318"/>
      <c r="KT79" s="1318"/>
      <c r="KU79" s="1318"/>
      <c r="KV79" s="1318"/>
    </row>
    <row r="80" spans="1:308" s="59" customFormat="1" ht="12" x14ac:dyDescent="0.2">
      <c r="A80" s="440" t="s">
        <v>104</v>
      </c>
      <c r="B80" s="1312">
        <v>2037</v>
      </c>
      <c r="C80" s="1316">
        <v>8000</v>
      </c>
      <c r="D80" s="1316">
        <f t="shared" si="172"/>
        <v>8320</v>
      </c>
      <c r="E80" s="1316">
        <f t="shared" si="173"/>
        <v>8678</v>
      </c>
      <c r="F80" s="1316">
        <f t="shared" si="174"/>
        <v>8939</v>
      </c>
      <c r="G80" s="1316">
        <f t="shared" si="175"/>
        <v>9270</v>
      </c>
      <c r="H80" s="1316">
        <f t="shared" si="176"/>
        <v>9641</v>
      </c>
      <c r="I80" s="1316">
        <f t="shared" si="177"/>
        <v>10027</v>
      </c>
      <c r="J80" s="1317">
        <f t="shared" si="178"/>
        <v>10429</v>
      </c>
      <c r="K80" s="1317" t="e">
        <f t="shared" si="179"/>
        <v>#N/A</v>
      </c>
      <c r="L80" s="1317" t="e">
        <f t="shared" si="180"/>
        <v>#N/A</v>
      </c>
      <c r="M80" s="1317" t="e">
        <f t="shared" si="181"/>
        <v>#N/A</v>
      </c>
      <c r="N80" s="1317" t="e">
        <f t="shared" si="182"/>
        <v>#N/A</v>
      </c>
      <c r="O80" s="1317" t="e">
        <f t="shared" si="183"/>
        <v>#N/A</v>
      </c>
      <c r="P80" s="1317" t="e">
        <f t="shared" si="184"/>
        <v>#N/A</v>
      </c>
      <c r="Q80" s="1317" t="e">
        <f t="shared" si="185"/>
        <v>#N/A</v>
      </c>
      <c r="R80" s="1317" t="e">
        <f t="shared" si="186"/>
        <v>#N/A</v>
      </c>
      <c r="S80" s="1317" t="e">
        <f t="shared" si="187"/>
        <v>#N/A</v>
      </c>
      <c r="T80" s="1317" t="e">
        <f t="shared" si="188"/>
        <v>#N/A</v>
      </c>
      <c r="U80" s="1317" t="e">
        <f t="shared" si="189"/>
        <v>#N/A</v>
      </c>
      <c r="V80" s="1317" t="e">
        <f t="shared" si="190"/>
        <v>#N/A</v>
      </c>
      <c r="W80" s="1317" t="e">
        <f t="shared" si="191"/>
        <v>#N/A</v>
      </c>
      <c r="X80" s="1317" t="e">
        <f t="shared" si="192"/>
        <v>#N/A</v>
      </c>
      <c r="Y80" s="1317" t="e">
        <f t="shared" si="193"/>
        <v>#N/A</v>
      </c>
      <c r="Z80" s="1317" t="e">
        <f t="shared" si="115"/>
        <v>#N/A</v>
      </c>
      <c r="AA80" s="1317" t="e">
        <f t="shared" si="116"/>
        <v>#N/A</v>
      </c>
      <c r="AB80" s="1317" t="e">
        <f t="shared" si="117"/>
        <v>#N/A</v>
      </c>
      <c r="AC80" s="1317" t="e">
        <f t="shared" si="118"/>
        <v>#N/A</v>
      </c>
      <c r="AD80" s="1317" t="e">
        <f t="shared" si="119"/>
        <v>#N/A</v>
      </c>
      <c r="AE80" s="1317" t="e">
        <f t="shared" si="120"/>
        <v>#N/A</v>
      </c>
      <c r="AF80" s="1317" t="e">
        <f t="shared" si="121"/>
        <v>#N/A</v>
      </c>
      <c r="AG80" s="1317" t="e">
        <f t="shared" si="122"/>
        <v>#N/A</v>
      </c>
      <c r="AH80" s="1317" t="e">
        <f t="shared" si="123"/>
        <v>#N/A</v>
      </c>
      <c r="AI80" s="1317" t="e">
        <f t="shared" si="124"/>
        <v>#N/A</v>
      </c>
      <c r="AJ80" s="1317" t="e">
        <f t="shared" si="125"/>
        <v>#N/A</v>
      </c>
      <c r="AK80" s="1317" t="e">
        <f t="shared" si="126"/>
        <v>#N/A</v>
      </c>
      <c r="AL80" s="1317" t="e">
        <f t="shared" si="127"/>
        <v>#N/A</v>
      </c>
      <c r="AM80" s="1317" t="e">
        <f t="shared" si="128"/>
        <v>#N/A</v>
      </c>
      <c r="AN80" s="1317" t="e">
        <f t="shared" si="129"/>
        <v>#N/A</v>
      </c>
      <c r="AO80" s="1317" t="e">
        <f t="shared" si="130"/>
        <v>#N/A</v>
      </c>
      <c r="AP80" s="1317" t="e">
        <f t="shared" si="131"/>
        <v>#N/A</v>
      </c>
      <c r="AQ80" s="1317" t="e">
        <f t="shared" si="132"/>
        <v>#N/A</v>
      </c>
      <c r="AR80" s="1317" t="e">
        <f t="shared" si="133"/>
        <v>#N/A</v>
      </c>
      <c r="AS80" s="1317" t="e">
        <f t="shared" si="134"/>
        <v>#N/A</v>
      </c>
      <c r="AT80" s="1317" t="e">
        <f t="shared" si="135"/>
        <v>#N/A</v>
      </c>
      <c r="AU80" s="1317" t="e">
        <f t="shared" si="136"/>
        <v>#N/A</v>
      </c>
      <c r="AV80" s="1317" t="e">
        <f t="shared" si="137"/>
        <v>#N/A</v>
      </c>
      <c r="AW80" s="1317" t="e">
        <f t="shared" si="138"/>
        <v>#N/A</v>
      </c>
      <c r="AX80" s="1317" t="e">
        <f t="shared" si="139"/>
        <v>#N/A</v>
      </c>
      <c r="AY80" s="1317" t="e">
        <f t="shared" si="140"/>
        <v>#N/A</v>
      </c>
      <c r="AZ80" s="1317" t="e">
        <f t="shared" si="141"/>
        <v>#N/A</v>
      </c>
      <c r="BA80" s="1317" t="e">
        <f t="shared" si="142"/>
        <v>#N/A</v>
      </c>
      <c r="BB80" s="1317" t="e">
        <f t="shared" si="143"/>
        <v>#N/A</v>
      </c>
      <c r="BC80" s="1317" t="e">
        <f t="shared" si="144"/>
        <v>#N/A</v>
      </c>
      <c r="BD80" s="1317" t="e">
        <f t="shared" si="145"/>
        <v>#N/A</v>
      </c>
      <c r="BE80" s="1317" t="e">
        <f t="shared" si="146"/>
        <v>#N/A</v>
      </c>
      <c r="BF80" s="1317" t="e">
        <f t="shared" si="147"/>
        <v>#N/A</v>
      </c>
      <c r="BG80" s="1317" t="e">
        <f t="shared" si="148"/>
        <v>#N/A</v>
      </c>
      <c r="BH80" s="1317" t="e">
        <f t="shared" si="149"/>
        <v>#N/A</v>
      </c>
      <c r="BI80" s="1317" t="e">
        <f t="shared" si="150"/>
        <v>#N/A</v>
      </c>
      <c r="BJ80" s="1317" t="e">
        <f t="shared" si="151"/>
        <v>#N/A</v>
      </c>
      <c r="BK80" s="1317" t="e">
        <f t="shared" si="152"/>
        <v>#N/A</v>
      </c>
      <c r="BL80" s="1317" t="e">
        <f t="shared" si="153"/>
        <v>#N/A</v>
      </c>
      <c r="BM80" s="1317" t="e">
        <f t="shared" si="154"/>
        <v>#N/A</v>
      </c>
      <c r="BN80" s="1317" t="e">
        <f t="shared" si="155"/>
        <v>#N/A</v>
      </c>
      <c r="BO80" s="1317" t="e">
        <f t="shared" si="156"/>
        <v>#N/A</v>
      </c>
      <c r="BP80" s="1317" t="e">
        <f t="shared" si="157"/>
        <v>#N/A</v>
      </c>
      <c r="BQ80" s="1317" t="e">
        <f t="shared" si="158"/>
        <v>#N/A</v>
      </c>
      <c r="BR80" s="1317" t="e">
        <f t="shared" si="159"/>
        <v>#N/A</v>
      </c>
      <c r="BS80" s="1317" t="e">
        <f t="shared" si="160"/>
        <v>#N/A</v>
      </c>
      <c r="BT80" s="1317" t="e">
        <f t="shared" si="161"/>
        <v>#N/A</v>
      </c>
      <c r="BU80" s="1317" t="e">
        <f t="shared" si="162"/>
        <v>#N/A</v>
      </c>
      <c r="BV80" s="1317" t="e">
        <f t="shared" si="163"/>
        <v>#N/A</v>
      </c>
      <c r="BW80" s="1317" t="e">
        <f t="shared" si="164"/>
        <v>#N/A</v>
      </c>
      <c r="BX80" s="1317" t="e">
        <f t="shared" si="165"/>
        <v>#N/A</v>
      </c>
      <c r="BY80" s="1317" t="e">
        <f t="shared" si="166"/>
        <v>#N/A</v>
      </c>
      <c r="BZ80" s="1318"/>
      <c r="CA80" s="1318"/>
      <c r="CB80" s="1318"/>
      <c r="CC80" s="1318"/>
      <c r="CD80" s="1318"/>
      <c r="CE80" s="1318"/>
      <c r="CF80" s="1318"/>
      <c r="CG80" s="1318"/>
      <c r="CH80" s="1318"/>
      <c r="CI80" s="1318"/>
      <c r="CJ80" s="1318"/>
      <c r="CK80" s="1318"/>
      <c r="CL80" s="1318"/>
      <c r="CM80" s="1318"/>
      <c r="CN80" s="1318"/>
      <c r="CO80" s="1318"/>
      <c r="CP80" s="1318"/>
      <c r="CQ80" s="1318"/>
      <c r="CR80" s="1318"/>
      <c r="CS80" s="1318"/>
      <c r="CT80" s="1318"/>
      <c r="CU80" s="1318"/>
      <c r="CV80" s="1318"/>
      <c r="CW80" s="1318"/>
      <c r="CX80" s="1318"/>
      <c r="CY80" s="1318"/>
      <c r="CZ80" s="1318"/>
      <c r="DA80" s="1318"/>
      <c r="DB80" s="1318"/>
      <c r="DC80" s="1318"/>
      <c r="DD80" s="1318"/>
      <c r="DE80" s="1318"/>
      <c r="DF80" s="1318"/>
      <c r="DG80" s="1318"/>
      <c r="DH80" s="1318"/>
      <c r="DI80" s="1318"/>
      <c r="DJ80" s="1318"/>
      <c r="DK80" s="1318"/>
      <c r="DL80" s="1318"/>
      <c r="DM80" s="1318"/>
      <c r="DN80" s="1318"/>
      <c r="DO80" s="1318"/>
      <c r="DP80" s="1318"/>
      <c r="DQ80" s="1318"/>
      <c r="DR80" s="1318"/>
      <c r="DS80" s="1318"/>
      <c r="DT80" s="1318"/>
      <c r="DU80" s="1318"/>
      <c r="DV80" s="1318"/>
      <c r="DW80" s="1318"/>
      <c r="DX80" s="1318"/>
      <c r="DY80" s="1318"/>
      <c r="DZ80" s="1318"/>
      <c r="EA80" s="1318"/>
      <c r="EB80" s="1318"/>
      <c r="EC80" s="1318"/>
      <c r="ED80" s="1318"/>
      <c r="EE80" s="1318"/>
      <c r="EF80" s="1318"/>
      <c r="EG80" s="1318"/>
      <c r="EH80" s="1318"/>
      <c r="EI80" s="1318"/>
      <c r="EJ80" s="1318"/>
      <c r="EK80" s="1318"/>
      <c r="EL80" s="1318"/>
      <c r="EM80" s="1318"/>
      <c r="EN80" s="1318"/>
      <c r="EO80" s="1318"/>
      <c r="EP80" s="1318"/>
      <c r="EQ80" s="1318"/>
      <c r="ER80" s="1318"/>
      <c r="ES80" s="1318"/>
      <c r="ET80" s="1318"/>
      <c r="EU80" s="1318"/>
      <c r="EV80" s="1318"/>
      <c r="EW80" s="1318"/>
      <c r="EX80" s="1318"/>
      <c r="EY80" s="1318"/>
      <c r="EZ80" s="1318"/>
      <c r="FA80" s="1318"/>
      <c r="FB80" s="1318"/>
      <c r="FC80" s="1318"/>
      <c r="FD80" s="1318"/>
      <c r="FE80" s="1318"/>
      <c r="FF80" s="1318"/>
      <c r="FG80" s="1318"/>
      <c r="FH80" s="1318"/>
      <c r="FI80" s="1318"/>
      <c r="FJ80" s="1318"/>
      <c r="FK80" s="1318"/>
      <c r="FL80" s="1318"/>
      <c r="FM80" s="1318"/>
      <c r="FN80" s="1318"/>
      <c r="FO80" s="1318"/>
      <c r="FP80" s="1318"/>
      <c r="FQ80" s="1318"/>
      <c r="FR80" s="1318"/>
      <c r="FS80" s="1318"/>
      <c r="FT80" s="1318"/>
      <c r="FU80" s="1318"/>
      <c r="FV80" s="1318"/>
      <c r="FW80" s="1318"/>
      <c r="FX80" s="1318"/>
      <c r="FY80" s="1318"/>
      <c r="FZ80" s="1318"/>
      <c r="GA80" s="1318"/>
      <c r="GB80" s="1318"/>
      <c r="GC80" s="1318"/>
      <c r="GD80" s="1318"/>
      <c r="GE80" s="1318"/>
      <c r="GF80" s="1318"/>
      <c r="GG80" s="1318"/>
      <c r="GH80" s="1318"/>
      <c r="GI80" s="1318"/>
      <c r="GJ80" s="1318"/>
      <c r="GK80" s="1318"/>
      <c r="GL80" s="1318"/>
      <c r="GM80" s="1318"/>
      <c r="GN80" s="1318"/>
      <c r="GO80" s="1318"/>
      <c r="GP80" s="1318"/>
      <c r="GQ80" s="1318"/>
      <c r="GR80" s="1318"/>
      <c r="GS80" s="1318"/>
      <c r="GT80" s="1318"/>
      <c r="GU80" s="1318"/>
      <c r="GV80" s="1318"/>
      <c r="GW80" s="1318"/>
      <c r="GX80" s="1318"/>
      <c r="GY80" s="1318"/>
      <c r="GZ80" s="1318"/>
      <c r="HA80" s="1318"/>
      <c r="HB80" s="1318"/>
      <c r="HC80" s="1318"/>
      <c r="HD80" s="1318"/>
      <c r="HE80" s="1318"/>
      <c r="HF80" s="1318"/>
      <c r="HG80" s="1318"/>
      <c r="HH80" s="1318"/>
      <c r="HI80" s="1318"/>
      <c r="HJ80" s="1318"/>
      <c r="HK80" s="1318"/>
      <c r="HL80" s="1318"/>
      <c r="HM80" s="1318"/>
      <c r="HN80" s="1318"/>
      <c r="HO80" s="1318"/>
      <c r="HP80" s="1318"/>
      <c r="HQ80" s="1318"/>
      <c r="HR80" s="1318"/>
      <c r="HS80" s="1318"/>
      <c r="HT80" s="1318"/>
      <c r="HU80" s="1318"/>
      <c r="HV80" s="1318"/>
      <c r="HW80" s="1318"/>
      <c r="HX80" s="1318"/>
      <c r="HY80" s="1318"/>
      <c r="HZ80" s="1318"/>
      <c r="IA80" s="1318"/>
      <c r="IB80" s="1318"/>
      <c r="IC80" s="1318"/>
      <c r="ID80" s="1318"/>
      <c r="IE80" s="1318"/>
      <c r="IF80" s="1318"/>
      <c r="IG80" s="1318"/>
      <c r="IH80" s="1318"/>
      <c r="II80" s="1318"/>
      <c r="IJ80" s="1318"/>
      <c r="IK80" s="1318"/>
      <c r="IL80" s="1318"/>
      <c r="IM80" s="1318"/>
      <c r="IN80" s="1318"/>
      <c r="IO80" s="1318"/>
      <c r="IP80" s="1318"/>
      <c r="IQ80" s="1318"/>
      <c r="IR80" s="1318"/>
      <c r="IS80" s="1318"/>
      <c r="IT80" s="1318"/>
      <c r="IU80" s="1318"/>
      <c r="IV80" s="1318"/>
      <c r="IW80" s="1318"/>
      <c r="IX80" s="1318"/>
      <c r="IY80" s="1318"/>
      <c r="IZ80" s="1318"/>
      <c r="JA80" s="1318"/>
      <c r="JB80" s="1318"/>
      <c r="JC80" s="1318"/>
      <c r="JD80" s="1318"/>
      <c r="JE80" s="1318"/>
      <c r="JF80" s="1318"/>
      <c r="JG80" s="1318"/>
      <c r="JH80" s="1318"/>
      <c r="JI80" s="1318"/>
      <c r="JJ80" s="1318"/>
      <c r="JK80" s="1318"/>
      <c r="JL80" s="1318"/>
      <c r="JM80" s="1318"/>
      <c r="JN80" s="1318"/>
      <c r="JO80" s="1318"/>
      <c r="JP80" s="1318"/>
      <c r="JQ80" s="1318"/>
      <c r="JR80" s="1318"/>
      <c r="JS80" s="1318"/>
      <c r="JT80" s="1318"/>
      <c r="JU80" s="1318"/>
      <c r="JV80" s="1318"/>
      <c r="JW80" s="1318"/>
      <c r="JX80" s="1318"/>
      <c r="JY80" s="1318"/>
      <c r="JZ80" s="1318"/>
      <c r="KA80" s="1318"/>
      <c r="KB80" s="1318"/>
      <c r="KC80" s="1318"/>
      <c r="KD80" s="1318"/>
      <c r="KE80" s="1318"/>
      <c r="KF80" s="1318"/>
      <c r="KG80" s="1318"/>
      <c r="KH80" s="1318"/>
      <c r="KI80" s="1318"/>
      <c r="KJ80" s="1318"/>
      <c r="KK80" s="1318"/>
      <c r="KL80" s="1318"/>
      <c r="KM80" s="1318"/>
      <c r="KN80" s="1318"/>
      <c r="KO80" s="1318"/>
      <c r="KP80" s="1318"/>
      <c r="KQ80" s="1318"/>
      <c r="KR80" s="1318"/>
      <c r="KS80" s="1318"/>
      <c r="KT80" s="1318"/>
      <c r="KU80" s="1318"/>
      <c r="KV80" s="1318"/>
    </row>
    <row r="81" spans="1:308" s="59" customFormat="1" ht="12" x14ac:dyDescent="0.2">
      <c r="A81" s="440" t="s">
        <v>105</v>
      </c>
      <c r="B81" s="1312">
        <v>1881</v>
      </c>
      <c r="C81" s="1316">
        <v>7500</v>
      </c>
      <c r="D81" s="1316">
        <f t="shared" si="172"/>
        <v>7800</v>
      </c>
      <c r="E81" s="1316">
        <f t="shared" si="173"/>
        <v>8136</v>
      </c>
      <c r="F81" s="1316">
        <f t="shared" si="174"/>
        <v>8381</v>
      </c>
      <c r="G81" s="1316">
        <f t="shared" si="175"/>
        <v>8692</v>
      </c>
      <c r="H81" s="1316">
        <f t="shared" si="176"/>
        <v>9040</v>
      </c>
      <c r="I81" s="1316">
        <f t="shared" si="177"/>
        <v>9402</v>
      </c>
      <c r="J81" s="1317">
        <f t="shared" si="178"/>
        <v>9779</v>
      </c>
      <c r="K81" s="1317" t="e">
        <f t="shared" si="179"/>
        <v>#N/A</v>
      </c>
      <c r="L81" s="1317" t="e">
        <f t="shared" si="180"/>
        <v>#N/A</v>
      </c>
      <c r="M81" s="1317" t="e">
        <f t="shared" si="181"/>
        <v>#N/A</v>
      </c>
      <c r="N81" s="1317" t="e">
        <f t="shared" si="182"/>
        <v>#N/A</v>
      </c>
      <c r="O81" s="1317" t="e">
        <f t="shared" si="183"/>
        <v>#N/A</v>
      </c>
      <c r="P81" s="1317" t="e">
        <f t="shared" si="184"/>
        <v>#N/A</v>
      </c>
      <c r="Q81" s="1317" t="e">
        <f t="shared" si="185"/>
        <v>#N/A</v>
      </c>
      <c r="R81" s="1317" t="e">
        <f t="shared" si="186"/>
        <v>#N/A</v>
      </c>
      <c r="S81" s="1317" t="e">
        <f t="shared" si="187"/>
        <v>#N/A</v>
      </c>
      <c r="T81" s="1317" t="e">
        <f t="shared" si="188"/>
        <v>#N/A</v>
      </c>
      <c r="U81" s="1317" t="e">
        <f t="shared" si="189"/>
        <v>#N/A</v>
      </c>
      <c r="V81" s="1317" t="e">
        <f t="shared" si="190"/>
        <v>#N/A</v>
      </c>
      <c r="W81" s="1317" t="e">
        <f t="shared" si="191"/>
        <v>#N/A</v>
      </c>
      <c r="X81" s="1317" t="e">
        <f t="shared" si="192"/>
        <v>#N/A</v>
      </c>
      <c r="Y81" s="1317" t="e">
        <f t="shared" si="193"/>
        <v>#N/A</v>
      </c>
      <c r="Z81" s="1317" t="e">
        <f t="shared" si="115"/>
        <v>#N/A</v>
      </c>
      <c r="AA81" s="1317" t="e">
        <f t="shared" si="116"/>
        <v>#N/A</v>
      </c>
      <c r="AB81" s="1317" t="e">
        <f t="shared" si="117"/>
        <v>#N/A</v>
      </c>
      <c r="AC81" s="1317" t="e">
        <f t="shared" si="118"/>
        <v>#N/A</v>
      </c>
      <c r="AD81" s="1317" t="e">
        <f t="shared" si="119"/>
        <v>#N/A</v>
      </c>
      <c r="AE81" s="1317" t="e">
        <f t="shared" si="120"/>
        <v>#N/A</v>
      </c>
      <c r="AF81" s="1317" t="e">
        <f t="shared" si="121"/>
        <v>#N/A</v>
      </c>
      <c r="AG81" s="1317" t="e">
        <f t="shared" si="122"/>
        <v>#N/A</v>
      </c>
      <c r="AH81" s="1317" t="e">
        <f t="shared" si="123"/>
        <v>#N/A</v>
      </c>
      <c r="AI81" s="1317" t="e">
        <f t="shared" si="124"/>
        <v>#N/A</v>
      </c>
      <c r="AJ81" s="1317" t="e">
        <f t="shared" si="125"/>
        <v>#N/A</v>
      </c>
      <c r="AK81" s="1317" t="e">
        <f t="shared" si="126"/>
        <v>#N/A</v>
      </c>
      <c r="AL81" s="1317" t="e">
        <f t="shared" si="127"/>
        <v>#N/A</v>
      </c>
      <c r="AM81" s="1317" t="e">
        <f t="shared" si="128"/>
        <v>#N/A</v>
      </c>
      <c r="AN81" s="1317" t="e">
        <f t="shared" si="129"/>
        <v>#N/A</v>
      </c>
      <c r="AO81" s="1317" t="e">
        <f t="shared" si="130"/>
        <v>#N/A</v>
      </c>
      <c r="AP81" s="1317" t="e">
        <f t="shared" si="131"/>
        <v>#N/A</v>
      </c>
      <c r="AQ81" s="1317" t="e">
        <f t="shared" si="132"/>
        <v>#N/A</v>
      </c>
      <c r="AR81" s="1317" t="e">
        <f t="shared" si="133"/>
        <v>#N/A</v>
      </c>
      <c r="AS81" s="1317" t="e">
        <f t="shared" si="134"/>
        <v>#N/A</v>
      </c>
      <c r="AT81" s="1317" t="e">
        <f t="shared" si="135"/>
        <v>#N/A</v>
      </c>
      <c r="AU81" s="1317" t="e">
        <f t="shared" si="136"/>
        <v>#N/A</v>
      </c>
      <c r="AV81" s="1317" t="e">
        <f t="shared" si="137"/>
        <v>#N/A</v>
      </c>
      <c r="AW81" s="1317" t="e">
        <f t="shared" si="138"/>
        <v>#N/A</v>
      </c>
      <c r="AX81" s="1317" t="e">
        <f t="shared" si="139"/>
        <v>#N/A</v>
      </c>
      <c r="AY81" s="1317" t="e">
        <f t="shared" si="140"/>
        <v>#N/A</v>
      </c>
      <c r="AZ81" s="1317" t="e">
        <f t="shared" si="141"/>
        <v>#N/A</v>
      </c>
      <c r="BA81" s="1317" t="e">
        <f t="shared" si="142"/>
        <v>#N/A</v>
      </c>
      <c r="BB81" s="1317" t="e">
        <f t="shared" si="143"/>
        <v>#N/A</v>
      </c>
      <c r="BC81" s="1317" t="e">
        <f t="shared" si="144"/>
        <v>#N/A</v>
      </c>
      <c r="BD81" s="1317" t="e">
        <f t="shared" si="145"/>
        <v>#N/A</v>
      </c>
      <c r="BE81" s="1317" t="e">
        <f t="shared" si="146"/>
        <v>#N/A</v>
      </c>
      <c r="BF81" s="1317" t="e">
        <f t="shared" si="147"/>
        <v>#N/A</v>
      </c>
      <c r="BG81" s="1317" t="e">
        <f t="shared" si="148"/>
        <v>#N/A</v>
      </c>
      <c r="BH81" s="1317" t="e">
        <f t="shared" si="149"/>
        <v>#N/A</v>
      </c>
      <c r="BI81" s="1317" t="e">
        <f t="shared" si="150"/>
        <v>#N/A</v>
      </c>
      <c r="BJ81" s="1317" t="e">
        <f t="shared" si="151"/>
        <v>#N/A</v>
      </c>
      <c r="BK81" s="1317" t="e">
        <f t="shared" si="152"/>
        <v>#N/A</v>
      </c>
      <c r="BL81" s="1317" t="e">
        <f t="shared" si="153"/>
        <v>#N/A</v>
      </c>
      <c r="BM81" s="1317" t="e">
        <f t="shared" si="154"/>
        <v>#N/A</v>
      </c>
      <c r="BN81" s="1317" t="e">
        <f t="shared" si="155"/>
        <v>#N/A</v>
      </c>
      <c r="BO81" s="1317" t="e">
        <f t="shared" si="156"/>
        <v>#N/A</v>
      </c>
      <c r="BP81" s="1317" t="e">
        <f t="shared" si="157"/>
        <v>#N/A</v>
      </c>
      <c r="BQ81" s="1317" t="e">
        <f t="shared" si="158"/>
        <v>#N/A</v>
      </c>
      <c r="BR81" s="1317" t="e">
        <f t="shared" si="159"/>
        <v>#N/A</v>
      </c>
      <c r="BS81" s="1317" t="e">
        <f t="shared" si="160"/>
        <v>#N/A</v>
      </c>
      <c r="BT81" s="1317" t="e">
        <f t="shared" si="161"/>
        <v>#N/A</v>
      </c>
      <c r="BU81" s="1317" t="e">
        <f t="shared" si="162"/>
        <v>#N/A</v>
      </c>
      <c r="BV81" s="1317" t="e">
        <f t="shared" si="163"/>
        <v>#N/A</v>
      </c>
      <c r="BW81" s="1317" t="e">
        <f t="shared" si="164"/>
        <v>#N/A</v>
      </c>
      <c r="BX81" s="1317" t="e">
        <f t="shared" si="165"/>
        <v>#N/A</v>
      </c>
      <c r="BY81" s="1317" t="e">
        <f t="shared" si="166"/>
        <v>#N/A</v>
      </c>
      <c r="BZ81" s="1318"/>
      <c r="CA81" s="1318"/>
      <c r="CB81" s="1318"/>
      <c r="CC81" s="1318"/>
      <c r="CD81" s="1318"/>
      <c r="CE81" s="1318"/>
      <c r="CF81" s="1318"/>
      <c r="CG81" s="1318"/>
      <c r="CH81" s="1318"/>
      <c r="CI81" s="1318"/>
      <c r="CJ81" s="1318"/>
      <c r="CK81" s="1318"/>
      <c r="CL81" s="1318"/>
      <c r="CM81" s="1318"/>
      <c r="CN81" s="1318"/>
      <c r="CO81" s="1318"/>
      <c r="CP81" s="1318"/>
      <c r="CQ81" s="1318"/>
      <c r="CR81" s="1318"/>
      <c r="CS81" s="1318"/>
      <c r="CT81" s="1318"/>
      <c r="CU81" s="1318"/>
      <c r="CV81" s="1318"/>
      <c r="CW81" s="1318"/>
      <c r="CX81" s="1318"/>
      <c r="CY81" s="1318"/>
      <c r="CZ81" s="1318"/>
      <c r="DA81" s="1318"/>
      <c r="DB81" s="1318"/>
      <c r="DC81" s="1318"/>
      <c r="DD81" s="1318"/>
      <c r="DE81" s="1318"/>
      <c r="DF81" s="1318"/>
      <c r="DG81" s="1318"/>
      <c r="DH81" s="1318"/>
      <c r="DI81" s="1318"/>
      <c r="DJ81" s="1318"/>
      <c r="DK81" s="1318"/>
      <c r="DL81" s="1318"/>
      <c r="DM81" s="1318"/>
      <c r="DN81" s="1318"/>
      <c r="DO81" s="1318"/>
      <c r="DP81" s="1318"/>
      <c r="DQ81" s="1318"/>
      <c r="DR81" s="1318"/>
      <c r="DS81" s="1318"/>
      <c r="DT81" s="1318"/>
      <c r="DU81" s="1318"/>
      <c r="DV81" s="1318"/>
      <c r="DW81" s="1318"/>
      <c r="DX81" s="1318"/>
      <c r="DY81" s="1318"/>
      <c r="DZ81" s="1318"/>
      <c r="EA81" s="1318"/>
      <c r="EB81" s="1318"/>
      <c r="EC81" s="1318"/>
      <c r="ED81" s="1318"/>
      <c r="EE81" s="1318"/>
      <c r="EF81" s="1318"/>
      <c r="EG81" s="1318"/>
      <c r="EH81" s="1318"/>
      <c r="EI81" s="1318"/>
      <c r="EJ81" s="1318"/>
      <c r="EK81" s="1318"/>
      <c r="EL81" s="1318"/>
      <c r="EM81" s="1318"/>
      <c r="EN81" s="1318"/>
      <c r="EO81" s="1318"/>
      <c r="EP81" s="1318"/>
      <c r="EQ81" s="1318"/>
      <c r="ER81" s="1318"/>
      <c r="ES81" s="1318"/>
      <c r="ET81" s="1318"/>
      <c r="EU81" s="1318"/>
      <c r="EV81" s="1318"/>
      <c r="EW81" s="1318"/>
      <c r="EX81" s="1318"/>
      <c r="EY81" s="1318"/>
      <c r="EZ81" s="1318"/>
      <c r="FA81" s="1318"/>
      <c r="FB81" s="1318"/>
      <c r="FC81" s="1318"/>
      <c r="FD81" s="1318"/>
      <c r="FE81" s="1318"/>
      <c r="FF81" s="1318"/>
      <c r="FG81" s="1318"/>
      <c r="FH81" s="1318"/>
      <c r="FI81" s="1318"/>
      <c r="FJ81" s="1318"/>
      <c r="FK81" s="1318"/>
      <c r="FL81" s="1318"/>
      <c r="FM81" s="1318"/>
      <c r="FN81" s="1318"/>
      <c r="FO81" s="1318"/>
      <c r="FP81" s="1318"/>
      <c r="FQ81" s="1318"/>
      <c r="FR81" s="1318"/>
      <c r="FS81" s="1318"/>
      <c r="FT81" s="1318"/>
      <c r="FU81" s="1318"/>
      <c r="FV81" s="1318"/>
      <c r="FW81" s="1318"/>
      <c r="FX81" s="1318"/>
      <c r="FY81" s="1318"/>
      <c r="FZ81" s="1318"/>
      <c r="GA81" s="1318"/>
      <c r="GB81" s="1318"/>
      <c r="GC81" s="1318"/>
      <c r="GD81" s="1318"/>
      <c r="GE81" s="1318"/>
      <c r="GF81" s="1318"/>
      <c r="GG81" s="1318"/>
      <c r="GH81" s="1318"/>
      <c r="GI81" s="1318"/>
      <c r="GJ81" s="1318"/>
      <c r="GK81" s="1318"/>
      <c r="GL81" s="1318"/>
      <c r="GM81" s="1318"/>
      <c r="GN81" s="1318"/>
      <c r="GO81" s="1318"/>
      <c r="GP81" s="1318"/>
      <c r="GQ81" s="1318"/>
      <c r="GR81" s="1318"/>
      <c r="GS81" s="1318"/>
      <c r="GT81" s="1318"/>
      <c r="GU81" s="1318"/>
      <c r="GV81" s="1318"/>
      <c r="GW81" s="1318"/>
      <c r="GX81" s="1318"/>
      <c r="GY81" s="1318"/>
      <c r="GZ81" s="1318"/>
      <c r="HA81" s="1318"/>
      <c r="HB81" s="1318"/>
      <c r="HC81" s="1318"/>
      <c r="HD81" s="1318"/>
      <c r="HE81" s="1318"/>
      <c r="HF81" s="1318"/>
      <c r="HG81" s="1318"/>
      <c r="HH81" s="1318"/>
      <c r="HI81" s="1318"/>
      <c r="HJ81" s="1318"/>
      <c r="HK81" s="1318"/>
      <c r="HL81" s="1318"/>
      <c r="HM81" s="1318"/>
      <c r="HN81" s="1318"/>
      <c r="HO81" s="1318"/>
      <c r="HP81" s="1318"/>
      <c r="HQ81" s="1318"/>
      <c r="HR81" s="1318"/>
      <c r="HS81" s="1318"/>
      <c r="HT81" s="1318"/>
      <c r="HU81" s="1318"/>
      <c r="HV81" s="1318"/>
      <c r="HW81" s="1318"/>
      <c r="HX81" s="1318"/>
      <c r="HY81" s="1318"/>
      <c r="HZ81" s="1318"/>
      <c r="IA81" s="1318"/>
      <c r="IB81" s="1318"/>
      <c r="IC81" s="1318"/>
      <c r="ID81" s="1318"/>
      <c r="IE81" s="1318"/>
      <c r="IF81" s="1318"/>
      <c r="IG81" s="1318"/>
      <c r="IH81" s="1318"/>
      <c r="II81" s="1318"/>
      <c r="IJ81" s="1318"/>
      <c r="IK81" s="1318"/>
      <c r="IL81" s="1318"/>
      <c r="IM81" s="1318"/>
      <c r="IN81" s="1318"/>
      <c r="IO81" s="1318"/>
      <c r="IP81" s="1318"/>
      <c r="IQ81" s="1318"/>
      <c r="IR81" s="1318"/>
      <c r="IS81" s="1318"/>
      <c r="IT81" s="1318"/>
      <c r="IU81" s="1318"/>
      <c r="IV81" s="1318"/>
      <c r="IW81" s="1318"/>
      <c r="IX81" s="1318"/>
      <c r="IY81" s="1318"/>
      <c r="IZ81" s="1318"/>
      <c r="JA81" s="1318"/>
      <c r="JB81" s="1318"/>
      <c r="JC81" s="1318"/>
      <c r="JD81" s="1318"/>
      <c r="JE81" s="1318"/>
      <c r="JF81" s="1318"/>
      <c r="JG81" s="1318"/>
      <c r="JH81" s="1318"/>
      <c r="JI81" s="1318"/>
      <c r="JJ81" s="1318"/>
      <c r="JK81" s="1318"/>
      <c r="JL81" s="1318"/>
      <c r="JM81" s="1318"/>
      <c r="JN81" s="1318"/>
      <c r="JO81" s="1318"/>
      <c r="JP81" s="1318"/>
      <c r="JQ81" s="1318"/>
      <c r="JR81" s="1318"/>
      <c r="JS81" s="1318"/>
      <c r="JT81" s="1318"/>
      <c r="JU81" s="1318"/>
      <c r="JV81" s="1318"/>
      <c r="JW81" s="1318"/>
      <c r="JX81" s="1318"/>
      <c r="JY81" s="1318"/>
      <c r="JZ81" s="1318"/>
      <c r="KA81" s="1318"/>
      <c r="KB81" s="1318"/>
      <c r="KC81" s="1318"/>
      <c r="KD81" s="1318"/>
      <c r="KE81" s="1318"/>
      <c r="KF81" s="1318"/>
      <c r="KG81" s="1318"/>
      <c r="KH81" s="1318"/>
      <c r="KI81" s="1318"/>
      <c r="KJ81" s="1318"/>
      <c r="KK81" s="1318"/>
      <c r="KL81" s="1318"/>
      <c r="KM81" s="1318"/>
      <c r="KN81" s="1318"/>
      <c r="KO81" s="1318"/>
      <c r="KP81" s="1318"/>
      <c r="KQ81" s="1318"/>
      <c r="KR81" s="1318"/>
      <c r="KS81" s="1318"/>
      <c r="KT81" s="1318"/>
      <c r="KU81" s="1318"/>
      <c r="KV81" s="1318"/>
    </row>
    <row r="82" spans="1:308" s="59" customFormat="1" ht="12" x14ac:dyDescent="0.2">
      <c r="A82" s="440" t="s">
        <v>106</v>
      </c>
      <c r="B82" s="1312">
        <v>1838</v>
      </c>
      <c r="C82" s="1316">
        <v>7000</v>
      </c>
      <c r="D82" s="1316">
        <f t="shared" si="172"/>
        <v>7280</v>
      </c>
      <c r="E82" s="1316">
        <f t="shared" si="173"/>
        <v>7594</v>
      </c>
      <c r="F82" s="1316">
        <f t="shared" si="174"/>
        <v>7822</v>
      </c>
      <c r="G82" s="1316">
        <f t="shared" si="175"/>
        <v>8112</v>
      </c>
      <c r="H82" s="1316">
        <f t="shared" si="176"/>
        <v>8437</v>
      </c>
      <c r="I82" s="1316">
        <f t="shared" si="177"/>
        <v>8775</v>
      </c>
      <c r="J82" s="1317">
        <f t="shared" si="178"/>
        <v>9126</v>
      </c>
      <c r="K82" s="1317" t="e">
        <f t="shared" si="179"/>
        <v>#N/A</v>
      </c>
      <c r="L82" s="1317" t="e">
        <f t="shared" si="180"/>
        <v>#N/A</v>
      </c>
      <c r="M82" s="1317" t="e">
        <f t="shared" si="181"/>
        <v>#N/A</v>
      </c>
      <c r="N82" s="1317" t="e">
        <f t="shared" si="182"/>
        <v>#N/A</v>
      </c>
      <c r="O82" s="1317" t="e">
        <f t="shared" si="183"/>
        <v>#N/A</v>
      </c>
      <c r="P82" s="1317" t="e">
        <f t="shared" si="184"/>
        <v>#N/A</v>
      </c>
      <c r="Q82" s="1317" t="e">
        <f t="shared" si="185"/>
        <v>#N/A</v>
      </c>
      <c r="R82" s="1317" t="e">
        <f t="shared" si="186"/>
        <v>#N/A</v>
      </c>
      <c r="S82" s="1317" t="e">
        <f t="shared" si="187"/>
        <v>#N/A</v>
      </c>
      <c r="T82" s="1317" t="e">
        <f t="shared" si="188"/>
        <v>#N/A</v>
      </c>
      <c r="U82" s="1317" t="e">
        <f t="shared" si="189"/>
        <v>#N/A</v>
      </c>
      <c r="V82" s="1317" t="e">
        <f t="shared" si="190"/>
        <v>#N/A</v>
      </c>
      <c r="W82" s="1317" t="e">
        <f t="shared" si="191"/>
        <v>#N/A</v>
      </c>
      <c r="X82" s="1317" t="e">
        <f t="shared" si="192"/>
        <v>#N/A</v>
      </c>
      <c r="Y82" s="1317" t="e">
        <f t="shared" si="193"/>
        <v>#N/A</v>
      </c>
      <c r="Z82" s="1317" t="e">
        <f t="shared" si="115"/>
        <v>#N/A</v>
      </c>
      <c r="AA82" s="1317" t="e">
        <f t="shared" si="116"/>
        <v>#N/A</v>
      </c>
      <c r="AB82" s="1317" t="e">
        <f t="shared" si="117"/>
        <v>#N/A</v>
      </c>
      <c r="AC82" s="1317" t="e">
        <f t="shared" si="118"/>
        <v>#N/A</v>
      </c>
      <c r="AD82" s="1317" t="e">
        <f t="shared" si="119"/>
        <v>#N/A</v>
      </c>
      <c r="AE82" s="1317" t="e">
        <f t="shared" si="120"/>
        <v>#N/A</v>
      </c>
      <c r="AF82" s="1317" t="e">
        <f t="shared" si="121"/>
        <v>#N/A</v>
      </c>
      <c r="AG82" s="1317" t="e">
        <f t="shared" si="122"/>
        <v>#N/A</v>
      </c>
      <c r="AH82" s="1317" t="e">
        <f t="shared" si="123"/>
        <v>#N/A</v>
      </c>
      <c r="AI82" s="1317" t="e">
        <f t="shared" si="124"/>
        <v>#N/A</v>
      </c>
      <c r="AJ82" s="1317" t="e">
        <f t="shared" si="125"/>
        <v>#N/A</v>
      </c>
      <c r="AK82" s="1317" t="e">
        <f t="shared" si="126"/>
        <v>#N/A</v>
      </c>
      <c r="AL82" s="1317" t="e">
        <f t="shared" si="127"/>
        <v>#N/A</v>
      </c>
      <c r="AM82" s="1317" t="e">
        <f t="shared" si="128"/>
        <v>#N/A</v>
      </c>
      <c r="AN82" s="1317" t="e">
        <f t="shared" si="129"/>
        <v>#N/A</v>
      </c>
      <c r="AO82" s="1317" t="e">
        <f t="shared" si="130"/>
        <v>#N/A</v>
      </c>
      <c r="AP82" s="1317" t="e">
        <f t="shared" si="131"/>
        <v>#N/A</v>
      </c>
      <c r="AQ82" s="1317" t="e">
        <f t="shared" si="132"/>
        <v>#N/A</v>
      </c>
      <c r="AR82" s="1317" t="e">
        <f t="shared" si="133"/>
        <v>#N/A</v>
      </c>
      <c r="AS82" s="1317" t="e">
        <f t="shared" si="134"/>
        <v>#N/A</v>
      </c>
      <c r="AT82" s="1317" t="e">
        <f t="shared" si="135"/>
        <v>#N/A</v>
      </c>
      <c r="AU82" s="1317" t="e">
        <f t="shared" si="136"/>
        <v>#N/A</v>
      </c>
      <c r="AV82" s="1317" t="e">
        <f t="shared" si="137"/>
        <v>#N/A</v>
      </c>
      <c r="AW82" s="1317" t="e">
        <f t="shared" si="138"/>
        <v>#N/A</v>
      </c>
      <c r="AX82" s="1317" t="e">
        <f t="shared" si="139"/>
        <v>#N/A</v>
      </c>
      <c r="AY82" s="1317" t="e">
        <f t="shared" si="140"/>
        <v>#N/A</v>
      </c>
      <c r="AZ82" s="1317" t="e">
        <f t="shared" si="141"/>
        <v>#N/A</v>
      </c>
      <c r="BA82" s="1317" t="e">
        <f t="shared" si="142"/>
        <v>#N/A</v>
      </c>
      <c r="BB82" s="1317" t="e">
        <f t="shared" si="143"/>
        <v>#N/A</v>
      </c>
      <c r="BC82" s="1317" t="e">
        <f t="shared" si="144"/>
        <v>#N/A</v>
      </c>
      <c r="BD82" s="1317" t="e">
        <f t="shared" si="145"/>
        <v>#N/A</v>
      </c>
      <c r="BE82" s="1317" t="e">
        <f t="shared" si="146"/>
        <v>#N/A</v>
      </c>
      <c r="BF82" s="1317" t="e">
        <f t="shared" si="147"/>
        <v>#N/A</v>
      </c>
      <c r="BG82" s="1317" t="e">
        <f t="shared" si="148"/>
        <v>#N/A</v>
      </c>
      <c r="BH82" s="1317" t="e">
        <f t="shared" si="149"/>
        <v>#N/A</v>
      </c>
      <c r="BI82" s="1317" t="e">
        <f t="shared" si="150"/>
        <v>#N/A</v>
      </c>
      <c r="BJ82" s="1317" t="e">
        <f t="shared" si="151"/>
        <v>#N/A</v>
      </c>
      <c r="BK82" s="1317" t="e">
        <f t="shared" si="152"/>
        <v>#N/A</v>
      </c>
      <c r="BL82" s="1317" t="e">
        <f t="shared" si="153"/>
        <v>#N/A</v>
      </c>
      <c r="BM82" s="1317" t="e">
        <f t="shared" si="154"/>
        <v>#N/A</v>
      </c>
      <c r="BN82" s="1317" t="e">
        <f t="shared" si="155"/>
        <v>#N/A</v>
      </c>
      <c r="BO82" s="1317" t="e">
        <f t="shared" si="156"/>
        <v>#N/A</v>
      </c>
      <c r="BP82" s="1317" t="e">
        <f t="shared" si="157"/>
        <v>#N/A</v>
      </c>
      <c r="BQ82" s="1317" t="e">
        <f t="shared" si="158"/>
        <v>#N/A</v>
      </c>
      <c r="BR82" s="1317" t="e">
        <f t="shared" si="159"/>
        <v>#N/A</v>
      </c>
      <c r="BS82" s="1317" t="e">
        <f t="shared" si="160"/>
        <v>#N/A</v>
      </c>
      <c r="BT82" s="1317" t="e">
        <f t="shared" si="161"/>
        <v>#N/A</v>
      </c>
      <c r="BU82" s="1317" t="e">
        <f t="shared" si="162"/>
        <v>#N/A</v>
      </c>
      <c r="BV82" s="1317" t="e">
        <f t="shared" si="163"/>
        <v>#N/A</v>
      </c>
      <c r="BW82" s="1317" t="e">
        <f t="shared" si="164"/>
        <v>#N/A</v>
      </c>
      <c r="BX82" s="1317" t="e">
        <f t="shared" si="165"/>
        <v>#N/A</v>
      </c>
      <c r="BY82" s="1317" t="e">
        <f t="shared" si="166"/>
        <v>#N/A</v>
      </c>
      <c r="BZ82" s="1318"/>
      <c r="CA82" s="1318"/>
      <c r="CB82" s="1318"/>
      <c r="CC82" s="1318"/>
      <c r="CD82" s="1318"/>
      <c r="CE82" s="1318"/>
      <c r="CF82" s="1318"/>
      <c r="CG82" s="1318"/>
      <c r="CH82" s="1318"/>
      <c r="CI82" s="1318"/>
      <c r="CJ82" s="1318"/>
      <c r="CK82" s="1318"/>
      <c r="CL82" s="1318"/>
      <c r="CM82" s="1318"/>
      <c r="CN82" s="1318"/>
      <c r="CO82" s="1318"/>
      <c r="CP82" s="1318"/>
      <c r="CQ82" s="1318"/>
      <c r="CR82" s="1318"/>
      <c r="CS82" s="1318"/>
      <c r="CT82" s="1318"/>
      <c r="CU82" s="1318"/>
      <c r="CV82" s="1318"/>
      <c r="CW82" s="1318"/>
      <c r="CX82" s="1318"/>
      <c r="CY82" s="1318"/>
      <c r="CZ82" s="1318"/>
      <c r="DA82" s="1318"/>
      <c r="DB82" s="1318"/>
      <c r="DC82" s="1318"/>
      <c r="DD82" s="1318"/>
      <c r="DE82" s="1318"/>
      <c r="DF82" s="1318"/>
      <c r="DG82" s="1318"/>
      <c r="DH82" s="1318"/>
      <c r="DI82" s="1318"/>
      <c r="DJ82" s="1318"/>
      <c r="DK82" s="1318"/>
      <c r="DL82" s="1318"/>
      <c r="DM82" s="1318"/>
      <c r="DN82" s="1318"/>
      <c r="DO82" s="1318"/>
      <c r="DP82" s="1318"/>
      <c r="DQ82" s="1318"/>
      <c r="DR82" s="1318"/>
      <c r="DS82" s="1318"/>
      <c r="DT82" s="1318"/>
      <c r="DU82" s="1318"/>
      <c r="DV82" s="1318"/>
      <c r="DW82" s="1318"/>
      <c r="DX82" s="1318"/>
      <c r="DY82" s="1318"/>
      <c r="DZ82" s="1318"/>
      <c r="EA82" s="1318"/>
      <c r="EB82" s="1318"/>
      <c r="EC82" s="1318"/>
      <c r="ED82" s="1318"/>
      <c r="EE82" s="1318"/>
      <c r="EF82" s="1318"/>
      <c r="EG82" s="1318"/>
      <c r="EH82" s="1318"/>
      <c r="EI82" s="1318"/>
      <c r="EJ82" s="1318"/>
      <c r="EK82" s="1318"/>
      <c r="EL82" s="1318"/>
      <c r="EM82" s="1318"/>
      <c r="EN82" s="1318"/>
      <c r="EO82" s="1318"/>
      <c r="EP82" s="1318"/>
      <c r="EQ82" s="1318"/>
      <c r="ER82" s="1318"/>
      <c r="ES82" s="1318"/>
      <c r="ET82" s="1318"/>
      <c r="EU82" s="1318"/>
      <c r="EV82" s="1318"/>
      <c r="EW82" s="1318"/>
      <c r="EX82" s="1318"/>
      <c r="EY82" s="1318"/>
      <c r="EZ82" s="1318"/>
      <c r="FA82" s="1318"/>
      <c r="FB82" s="1318"/>
      <c r="FC82" s="1318"/>
      <c r="FD82" s="1318"/>
      <c r="FE82" s="1318"/>
      <c r="FF82" s="1318"/>
      <c r="FG82" s="1318"/>
      <c r="FH82" s="1318"/>
      <c r="FI82" s="1318"/>
      <c r="FJ82" s="1318"/>
      <c r="FK82" s="1318"/>
      <c r="FL82" s="1318"/>
      <c r="FM82" s="1318"/>
      <c r="FN82" s="1318"/>
      <c r="FO82" s="1318"/>
      <c r="FP82" s="1318"/>
      <c r="FQ82" s="1318"/>
      <c r="FR82" s="1318"/>
      <c r="FS82" s="1318"/>
      <c r="FT82" s="1318"/>
      <c r="FU82" s="1318"/>
      <c r="FV82" s="1318"/>
      <c r="FW82" s="1318"/>
      <c r="FX82" s="1318"/>
      <c r="FY82" s="1318"/>
      <c r="FZ82" s="1318"/>
      <c r="GA82" s="1318"/>
      <c r="GB82" s="1318"/>
      <c r="GC82" s="1318"/>
      <c r="GD82" s="1318"/>
      <c r="GE82" s="1318"/>
      <c r="GF82" s="1318"/>
      <c r="GG82" s="1318"/>
      <c r="GH82" s="1318"/>
      <c r="GI82" s="1318"/>
      <c r="GJ82" s="1318"/>
      <c r="GK82" s="1318"/>
      <c r="GL82" s="1318"/>
      <c r="GM82" s="1318"/>
      <c r="GN82" s="1318"/>
      <c r="GO82" s="1318"/>
      <c r="GP82" s="1318"/>
      <c r="GQ82" s="1318"/>
      <c r="GR82" s="1318"/>
      <c r="GS82" s="1318"/>
      <c r="GT82" s="1318"/>
      <c r="GU82" s="1318"/>
      <c r="GV82" s="1318"/>
      <c r="GW82" s="1318"/>
      <c r="GX82" s="1318"/>
      <c r="GY82" s="1318"/>
      <c r="GZ82" s="1318"/>
      <c r="HA82" s="1318"/>
      <c r="HB82" s="1318"/>
      <c r="HC82" s="1318"/>
      <c r="HD82" s="1318"/>
      <c r="HE82" s="1318"/>
      <c r="HF82" s="1318"/>
      <c r="HG82" s="1318"/>
      <c r="HH82" s="1318"/>
      <c r="HI82" s="1318"/>
      <c r="HJ82" s="1318"/>
      <c r="HK82" s="1318"/>
      <c r="HL82" s="1318"/>
      <c r="HM82" s="1318"/>
      <c r="HN82" s="1318"/>
      <c r="HO82" s="1318"/>
      <c r="HP82" s="1318"/>
      <c r="HQ82" s="1318"/>
      <c r="HR82" s="1318"/>
      <c r="HS82" s="1318"/>
      <c r="HT82" s="1318"/>
      <c r="HU82" s="1318"/>
      <c r="HV82" s="1318"/>
      <c r="HW82" s="1318"/>
      <c r="HX82" s="1318"/>
      <c r="HY82" s="1318"/>
      <c r="HZ82" s="1318"/>
      <c r="IA82" s="1318"/>
      <c r="IB82" s="1318"/>
      <c r="IC82" s="1318"/>
      <c r="ID82" s="1318"/>
      <c r="IE82" s="1318"/>
      <c r="IF82" s="1318"/>
      <c r="IG82" s="1318"/>
      <c r="IH82" s="1318"/>
      <c r="II82" s="1318"/>
      <c r="IJ82" s="1318"/>
      <c r="IK82" s="1318"/>
      <c r="IL82" s="1318"/>
      <c r="IM82" s="1318"/>
      <c r="IN82" s="1318"/>
      <c r="IO82" s="1318"/>
      <c r="IP82" s="1318"/>
      <c r="IQ82" s="1318"/>
      <c r="IR82" s="1318"/>
      <c r="IS82" s="1318"/>
      <c r="IT82" s="1318"/>
      <c r="IU82" s="1318"/>
      <c r="IV82" s="1318"/>
      <c r="IW82" s="1318"/>
      <c r="IX82" s="1318"/>
      <c r="IY82" s="1318"/>
      <c r="IZ82" s="1318"/>
      <c r="JA82" s="1318"/>
      <c r="JB82" s="1318"/>
      <c r="JC82" s="1318"/>
      <c r="JD82" s="1318"/>
      <c r="JE82" s="1318"/>
      <c r="JF82" s="1318"/>
      <c r="JG82" s="1318"/>
      <c r="JH82" s="1318"/>
      <c r="JI82" s="1318"/>
      <c r="JJ82" s="1318"/>
      <c r="JK82" s="1318"/>
      <c r="JL82" s="1318"/>
      <c r="JM82" s="1318"/>
      <c r="JN82" s="1318"/>
      <c r="JO82" s="1318"/>
      <c r="JP82" s="1318"/>
      <c r="JQ82" s="1318"/>
      <c r="JR82" s="1318"/>
      <c r="JS82" s="1318"/>
      <c r="JT82" s="1318"/>
      <c r="JU82" s="1318"/>
      <c r="JV82" s="1318"/>
      <c r="JW82" s="1318"/>
      <c r="JX82" s="1318"/>
      <c r="JY82" s="1318"/>
      <c r="JZ82" s="1318"/>
      <c r="KA82" s="1318"/>
      <c r="KB82" s="1318"/>
      <c r="KC82" s="1318"/>
      <c r="KD82" s="1318"/>
      <c r="KE82" s="1318"/>
      <c r="KF82" s="1318"/>
      <c r="KG82" s="1318"/>
      <c r="KH82" s="1318"/>
      <c r="KI82" s="1318"/>
      <c r="KJ82" s="1318"/>
      <c r="KK82" s="1318"/>
      <c r="KL82" s="1318"/>
      <c r="KM82" s="1318"/>
      <c r="KN82" s="1318"/>
      <c r="KO82" s="1318"/>
      <c r="KP82" s="1318"/>
      <c r="KQ82" s="1318"/>
      <c r="KR82" s="1318"/>
      <c r="KS82" s="1318"/>
      <c r="KT82" s="1318"/>
      <c r="KU82" s="1318"/>
      <c r="KV82" s="1318"/>
    </row>
    <row r="83" spans="1:308" s="59" customFormat="1" ht="12" x14ac:dyDescent="0.2">
      <c r="A83" s="440" t="s">
        <v>107</v>
      </c>
      <c r="B83" s="1312">
        <v>1791</v>
      </c>
      <c r="C83" s="1316">
        <v>6500</v>
      </c>
      <c r="D83" s="1316">
        <f t="shared" si="172"/>
        <v>6760</v>
      </c>
      <c r="E83" s="1316">
        <f t="shared" si="173"/>
        <v>7051</v>
      </c>
      <c r="F83" s="1316">
        <f t="shared" si="174"/>
        <v>7263</v>
      </c>
      <c r="G83" s="1316">
        <f t="shared" si="175"/>
        <v>7532</v>
      </c>
      <c r="H83" s="1316">
        <f t="shared" si="176"/>
        <v>7834</v>
      </c>
      <c r="I83" s="1316">
        <f t="shared" si="177"/>
        <v>8148</v>
      </c>
      <c r="J83" s="1317">
        <f t="shared" si="178"/>
        <v>8474</v>
      </c>
      <c r="K83" s="1317" t="e">
        <f t="shared" si="179"/>
        <v>#N/A</v>
      </c>
      <c r="L83" s="1317" t="e">
        <f t="shared" si="180"/>
        <v>#N/A</v>
      </c>
      <c r="M83" s="1317" t="e">
        <f t="shared" si="181"/>
        <v>#N/A</v>
      </c>
      <c r="N83" s="1317" t="e">
        <f t="shared" si="182"/>
        <v>#N/A</v>
      </c>
      <c r="O83" s="1317" t="e">
        <f t="shared" si="183"/>
        <v>#N/A</v>
      </c>
      <c r="P83" s="1317" t="e">
        <f t="shared" si="184"/>
        <v>#N/A</v>
      </c>
      <c r="Q83" s="1317" t="e">
        <f t="shared" si="185"/>
        <v>#N/A</v>
      </c>
      <c r="R83" s="1317" t="e">
        <f t="shared" si="186"/>
        <v>#N/A</v>
      </c>
      <c r="S83" s="1317" t="e">
        <f t="shared" si="187"/>
        <v>#N/A</v>
      </c>
      <c r="T83" s="1317" t="e">
        <f t="shared" si="188"/>
        <v>#N/A</v>
      </c>
      <c r="U83" s="1317" t="e">
        <f t="shared" si="189"/>
        <v>#N/A</v>
      </c>
      <c r="V83" s="1317" t="e">
        <f t="shared" si="190"/>
        <v>#N/A</v>
      </c>
      <c r="W83" s="1317" t="e">
        <f t="shared" si="191"/>
        <v>#N/A</v>
      </c>
      <c r="X83" s="1317" t="e">
        <f t="shared" si="192"/>
        <v>#N/A</v>
      </c>
      <c r="Y83" s="1317" t="e">
        <f t="shared" si="193"/>
        <v>#N/A</v>
      </c>
      <c r="Z83" s="1317" t="e">
        <f t="shared" si="115"/>
        <v>#N/A</v>
      </c>
      <c r="AA83" s="1317" t="e">
        <f t="shared" si="116"/>
        <v>#N/A</v>
      </c>
      <c r="AB83" s="1317" t="e">
        <f t="shared" si="117"/>
        <v>#N/A</v>
      </c>
      <c r="AC83" s="1317" t="e">
        <f t="shared" si="118"/>
        <v>#N/A</v>
      </c>
      <c r="AD83" s="1317" t="e">
        <f t="shared" si="119"/>
        <v>#N/A</v>
      </c>
      <c r="AE83" s="1317" t="e">
        <f t="shared" si="120"/>
        <v>#N/A</v>
      </c>
      <c r="AF83" s="1317" t="e">
        <f t="shared" si="121"/>
        <v>#N/A</v>
      </c>
      <c r="AG83" s="1317" t="e">
        <f t="shared" si="122"/>
        <v>#N/A</v>
      </c>
      <c r="AH83" s="1317" t="e">
        <f t="shared" si="123"/>
        <v>#N/A</v>
      </c>
      <c r="AI83" s="1317" t="e">
        <f t="shared" si="124"/>
        <v>#N/A</v>
      </c>
      <c r="AJ83" s="1317" t="e">
        <f t="shared" si="125"/>
        <v>#N/A</v>
      </c>
      <c r="AK83" s="1317" t="e">
        <f t="shared" si="126"/>
        <v>#N/A</v>
      </c>
      <c r="AL83" s="1317" t="e">
        <f t="shared" si="127"/>
        <v>#N/A</v>
      </c>
      <c r="AM83" s="1317" t="e">
        <f t="shared" si="128"/>
        <v>#N/A</v>
      </c>
      <c r="AN83" s="1317" t="e">
        <f t="shared" si="129"/>
        <v>#N/A</v>
      </c>
      <c r="AO83" s="1317" t="e">
        <f t="shared" si="130"/>
        <v>#N/A</v>
      </c>
      <c r="AP83" s="1317" t="e">
        <f t="shared" si="131"/>
        <v>#N/A</v>
      </c>
      <c r="AQ83" s="1317" t="e">
        <f t="shared" si="132"/>
        <v>#N/A</v>
      </c>
      <c r="AR83" s="1317" t="e">
        <f t="shared" si="133"/>
        <v>#N/A</v>
      </c>
      <c r="AS83" s="1317" t="e">
        <f t="shared" si="134"/>
        <v>#N/A</v>
      </c>
      <c r="AT83" s="1317" t="e">
        <f t="shared" si="135"/>
        <v>#N/A</v>
      </c>
      <c r="AU83" s="1317" t="e">
        <f t="shared" si="136"/>
        <v>#N/A</v>
      </c>
      <c r="AV83" s="1317" t="e">
        <f t="shared" si="137"/>
        <v>#N/A</v>
      </c>
      <c r="AW83" s="1317" t="e">
        <f t="shared" si="138"/>
        <v>#N/A</v>
      </c>
      <c r="AX83" s="1317" t="e">
        <f t="shared" si="139"/>
        <v>#N/A</v>
      </c>
      <c r="AY83" s="1317" t="e">
        <f t="shared" si="140"/>
        <v>#N/A</v>
      </c>
      <c r="AZ83" s="1317" t="e">
        <f t="shared" si="141"/>
        <v>#N/A</v>
      </c>
      <c r="BA83" s="1317" t="e">
        <f t="shared" si="142"/>
        <v>#N/A</v>
      </c>
      <c r="BB83" s="1317" t="e">
        <f t="shared" si="143"/>
        <v>#N/A</v>
      </c>
      <c r="BC83" s="1317" t="e">
        <f t="shared" si="144"/>
        <v>#N/A</v>
      </c>
      <c r="BD83" s="1317" t="e">
        <f t="shared" si="145"/>
        <v>#N/A</v>
      </c>
      <c r="BE83" s="1317" t="e">
        <f t="shared" si="146"/>
        <v>#N/A</v>
      </c>
      <c r="BF83" s="1317" t="e">
        <f t="shared" si="147"/>
        <v>#N/A</v>
      </c>
      <c r="BG83" s="1317" t="e">
        <f t="shared" si="148"/>
        <v>#N/A</v>
      </c>
      <c r="BH83" s="1317" t="e">
        <f t="shared" si="149"/>
        <v>#N/A</v>
      </c>
      <c r="BI83" s="1317" t="e">
        <f t="shared" si="150"/>
        <v>#N/A</v>
      </c>
      <c r="BJ83" s="1317" t="e">
        <f t="shared" si="151"/>
        <v>#N/A</v>
      </c>
      <c r="BK83" s="1317" t="e">
        <f t="shared" si="152"/>
        <v>#N/A</v>
      </c>
      <c r="BL83" s="1317" t="e">
        <f t="shared" si="153"/>
        <v>#N/A</v>
      </c>
      <c r="BM83" s="1317" t="e">
        <f t="shared" si="154"/>
        <v>#N/A</v>
      </c>
      <c r="BN83" s="1317" t="e">
        <f t="shared" si="155"/>
        <v>#N/A</v>
      </c>
      <c r="BO83" s="1317" t="e">
        <f t="shared" si="156"/>
        <v>#N/A</v>
      </c>
      <c r="BP83" s="1317" t="e">
        <f t="shared" si="157"/>
        <v>#N/A</v>
      </c>
      <c r="BQ83" s="1317" t="e">
        <f t="shared" si="158"/>
        <v>#N/A</v>
      </c>
      <c r="BR83" s="1317" t="e">
        <f t="shared" si="159"/>
        <v>#N/A</v>
      </c>
      <c r="BS83" s="1317" t="e">
        <f t="shared" si="160"/>
        <v>#N/A</v>
      </c>
      <c r="BT83" s="1317" t="e">
        <f t="shared" si="161"/>
        <v>#N/A</v>
      </c>
      <c r="BU83" s="1317" t="e">
        <f t="shared" si="162"/>
        <v>#N/A</v>
      </c>
      <c r="BV83" s="1317" t="e">
        <f t="shared" si="163"/>
        <v>#N/A</v>
      </c>
      <c r="BW83" s="1317" t="e">
        <f t="shared" si="164"/>
        <v>#N/A</v>
      </c>
      <c r="BX83" s="1317" t="e">
        <f t="shared" si="165"/>
        <v>#N/A</v>
      </c>
      <c r="BY83" s="1317" t="e">
        <f t="shared" si="166"/>
        <v>#N/A</v>
      </c>
      <c r="BZ83" s="1318"/>
      <c r="CA83" s="1318"/>
      <c r="CB83" s="1318"/>
      <c r="CC83" s="1318"/>
      <c r="CD83" s="1318"/>
      <c r="CE83" s="1318"/>
      <c r="CF83" s="1318"/>
      <c r="CG83" s="1318"/>
      <c r="CH83" s="1318"/>
      <c r="CI83" s="1318"/>
      <c r="CJ83" s="1318"/>
      <c r="CK83" s="1318"/>
      <c r="CL83" s="1318"/>
      <c r="CM83" s="1318"/>
      <c r="CN83" s="1318"/>
      <c r="CO83" s="1318"/>
      <c r="CP83" s="1318"/>
      <c r="CQ83" s="1318"/>
      <c r="CR83" s="1318"/>
      <c r="CS83" s="1318"/>
      <c r="CT83" s="1318"/>
      <c r="CU83" s="1318"/>
      <c r="CV83" s="1318"/>
      <c r="CW83" s="1318"/>
      <c r="CX83" s="1318"/>
      <c r="CY83" s="1318"/>
      <c r="CZ83" s="1318"/>
      <c r="DA83" s="1318"/>
      <c r="DB83" s="1318"/>
      <c r="DC83" s="1318"/>
      <c r="DD83" s="1318"/>
      <c r="DE83" s="1318"/>
      <c r="DF83" s="1318"/>
      <c r="DG83" s="1318"/>
      <c r="DH83" s="1318"/>
      <c r="DI83" s="1318"/>
      <c r="DJ83" s="1318"/>
      <c r="DK83" s="1318"/>
      <c r="DL83" s="1318"/>
      <c r="DM83" s="1318"/>
      <c r="DN83" s="1318"/>
      <c r="DO83" s="1318"/>
      <c r="DP83" s="1318"/>
      <c r="DQ83" s="1318"/>
      <c r="DR83" s="1318"/>
      <c r="DS83" s="1318"/>
      <c r="DT83" s="1318"/>
      <c r="DU83" s="1318"/>
      <c r="DV83" s="1318"/>
      <c r="DW83" s="1318"/>
      <c r="DX83" s="1318"/>
      <c r="DY83" s="1318"/>
      <c r="DZ83" s="1318"/>
      <c r="EA83" s="1318"/>
      <c r="EB83" s="1318"/>
      <c r="EC83" s="1318"/>
      <c r="ED83" s="1318"/>
      <c r="EE83" s="1318"/>
      <c r="EF83" s="1318"/>
      <c r="EG83" s="1318"/>
      <c r="EH83" s="1318"/>
      <c r="EI83" s="1318"/>
      <c r="EJ83" s="1318"/>
      <c r="EK83" s="1318"/>
      <c r="EL83" s="1318"/>
      <c r="EM83" s="1318"/>
      <c r="EN83" s="1318"/>
      <c r="EO83" s="1318"/>
      <c r="EP83" s="1318"/>
      <c r="EQ83" s="1318"/>
      <c r="ER83" s="1318"/>
      <c r="ES83" s="1318"/>
      <c r="ET83" s="1318"/>
      <c r="EU83" s="1318"/>
      <c r="EV83" s="1318"/>
      <c r="EW83" s="1318"/>
      <c r="EX83" s="1318"/>
      <c r="EY83" s="1318"/>
      <c r="EZ83" s="1318"/>
      <c r="FA83" s="1318"/>
      <c r="FB83" s="1318"/>
      <c r="FC83" s="1318"/>
      <c r="FD83" s="1318"/>
      <c r="FE83" s="1318"/>
      <c r="FF83" s="1318"/>
      <c r="FG83" s="1318"/>
      <c r="FH83" s="1318"/>
      <c r="FI83" s="1318"/>
      <c r="FJ83" s="1318"/>
      <c r="FK83" s="1318"/>
      <c r="FL83" s="1318"/>
      <c r="FM83" s="1318"/>
      <c r="FN83" s="1318"/>
      <c r="FO83" s="1318"/>
      <c r="FP83" s="1318"/>
      <c r="FQ83" s="1318"/>
      <c r="FR83" s="1318"/>
      <c r="FS83" s="1318"/>
      <c r="FT83" s="1318"/>
      <c r="FU83" s="1318"/>
      <c r="FV83" s="1318"/>
      <c r="FW83" s="1318"/>
      <c r="FX83" s="1318"/>
      <c r="FY83" s="1318"/>
      <c r="FZ83" s="1318"/>
      <c r="GA83" s="1318"/>
      <c r="GB83" s="1318"/>
      <c r="GC83" s="1318"/>
      <c r="GD83" s="1318"/>
      <c r="GE83" s="1318"/>
      <c r="GF83" s="1318"/>
      <c r="GG83" s="1318"/>
      <c r="GH83" s="1318"/>
      <c r="GI83" s="1318"/>
      <c r="GJ83" s="1318"/>
      <c r="GK83" s="1318"/>
      <c r="GL83" s="1318"/>
      <c r="GM83" s="1318"/>
      <c r="GN83" s="1318"/>
      <c r="GO83" s="1318"/>
      <c r="GP83" s="1318"/>
      <c r="GQ83" s="1318"/>
      <c r="GR83" s="1318"/>
      <c r="GS83" s="1318"/>
      <c r="GT83" s="1318"/>
      <c r="GU83" s="1318"/>
      <c r="GV83" s="1318"/>
      <c r="GW83" s="1318"/>
      <c r="GX83" s="1318"/>
      <c r="GY83" s="1318"/>
      <c r="GZ83" s="1318"/>
      <c r="HA83" s="1318"/>
      <c r="HB83" s="1318"/>
      <c r="HC83" s="1318"/>
      <c r="HD83" s="1318"/>
      <c r="HE83" s="1318"/>
      <c r="HF83" s="1318"/>
      <c r="HG83" s="1318"/>
      <c r="HH83" s="1318"/>
      <c r="HI83" s="1318"/>
      <c r="HJ83" s="1318"/>
      <c r="HK83" s="1318"/>
      <c r="HL83" s="1318"/>
      <c r="HM83" s="1318"/>
      <c r="HN83" s="1318"/>
      <c r="HO83" s="1318"/>
      <c r="HP83" s="1318"/>
      <c r="HQ83" s="1318"/>
      <c r="HR83" s="1318"/>
      <c r="HS83" s="1318"/>
      <c r="HT83" s="1318"/>
      <c r="HU83" s="1318"/>
      <c r="HV83" s="1318"/>
      <c r="HW83" s="1318"/>
      <c r="HX83" s="1318"/>
      <c r="HY83" s="1318"/>
      <c r="HZ83" s="1318"/>
      <c r="IA83" s="1318"/>
      <c r="IB83" s="1318"/>
      <c r="IC83" s="1318"/>
      <c r="ID83" s="1318"/>
      <c r="IE83" s="1318"/>
      <c r="IF83" s="1318"/>
      <c r="IG83" s="1318"/>
      <c r="IH83" s="1318"/>
      <c r="II83" s="1318"/>
      <c r="IJ83" s="1318"/>
      <c r="IK83" s="1318"/>
      <c r="IL83" s="1318"/>
      <c r="IM83" s="1318"/>
      <c r="IN83" s="1318"/>
      <c r="IO83" s="1318"/>
      <c r="IP83" s="1318"/>
      <c r="IQ83" s="1318"/>
      <c r="IR83" s="1318"/>
      <c r="IS83" s="1318"/>
      <c r="IT83" s="1318"/>
      <c r="IU83" s="1318"/>
      <c r="IV83" s="1318"/>
      <c r="IW83" s="1318"/>
      <c r="IX83" s="1318"/>
      <c r="IY83" s="1318"/>
      <c r="IZ83" s="1318"/>
      <c r="JA83" s="1318"/>
      <c r="JB83" s="1318"/>
      <c r="JC83" s="1318"/>
      <c r="JD83" s="1318"/>
      <c r="JE83" s="1318"/>
      <c r="JF83" s="1318"/>
      <c r="JG83" s="1318"/>
      <c r="JH83" s="1318"/>
      <c r="JI83" s="1318"/>
      <c r="JJ83" s="1318"/>
      <c r="JK83" s="1318"/>
      <c r="JL83" s="1318"/>
      <c r="JM83" s="1318"/>
      <c r="JN83" s="1318"/>
      <c r="JO83" s="1318"/>
      <c r="JP83" s="1318"/>
      <c r="JQ83" s="1318"/>
      <c r="JR83" s="1318"/>
      <c r="JS83" s="1318"/>
      <c r="JT83" s="1318"/>
      <c r="JU83" s="1318"/>
      <c r="JV83" s="1318"/>
      <c r="JW83" s="1318"/>
      <c r="JX83" s="1318"/>
      <c r="JY83" s="1318"/>
      <c r="JZ83" s="1318"/>
      <c r="KA83" s="1318"/>
      <c r="KB83" s="1318"/>
      <c r="KC83" s="1318"/>
      <c r="KD83" s="1318"/>
      <c r="KE83" s="1318"/>
      <c r="KF83" s="1318"/>
      <c r="KG83" s="1318"/>
      <c r="KH83" s="1318"/>
      <c r="KI83" s="1318"/>
      <c r="KJ83" s="1318"/>
      <c r="KK83" s="1318"/>
      <c r="KL83" s="1318"/>
      <c r="KM83" s="1318"/>
      <c r="KN83" s="1318"/>
      <c r="KO83" s="1318"/>
      <c r="KP83" s="1318"/>
      <c r="KQ83" s="1318"/>
      <c r="KR83" s="1318"/>
      <c r="KS83" s="1318"/>
      <c r="KT83" s="1318"/>
      <c r="KU83" s="1318"/>
      <c r="KV83" s="1318"/>
    </row>
    <row r="84" spans="1:308" s="59" customFormat="1" ht="12" x14ac:dyDescent="0.2">
      <c r="A84" s="440" t="s">
        <v>108</v>
      </c>
      <c r="B84" s="1312">
        <v>1747</v>
      </c>
      <c r="C84" s="1316">
        <v>6000</v>
      </c>
      <c r="D84" s="1316">
        <f t="shared" si="172"/>
        <v>6240</v>
      </c>
      <c r="E84" s="1316">
        <f t="shared" si="173"/>
        <v>6509</v>
      </c>
      <c r="F84" s="1316">
        <f t="shared" si="174"/>
        <v>6705</v>
      </c>
      <c r="G84" s="1316">
        <f t="shared" si="175"/>
        <v>6954</v>
      </c>
      <c r="H84" s="1316">
        <f t="shared" si="176"/>
        <v>7233</v>
      </c>
      <c r="I84" s="1316">
        <f t="shared" si="177"/>
        <v>7523</v>
      </c>
      <c r="J84" s="1317">
        <f t="shared" si="178"/>
        <v>7824</v>
      </c>
      <c r="K84" s="1317" t="e">
        <f t="shared" si="179"/>
        <v>#N/A</v>
      </c>
      <c r="L84" s="1317" t="e">
        <f t="shared" si="180"/>
        <v>#N/A</v>
      </c>
      <c r="M84" s="1317" t="e">
        <f t="shared" si="181"/>
        <v>#N/A</v>
      </c>
      <c r="N84" s="1317" t="e">
        <f t="shared" si="182"/>
        <v>#N/A</v>
      </c>
      <c r="O84" s="1317" t="e">
        <f t="shared" si="183"/>
        <v>#N/A</v>
      </c>
      <c r="P84" s="1317" t="e">
        <f t="shared" si="184"/>
        <v>#N/A</v>
      </c>
      <c r="Q84" s="1317" t="e">
        <f t="shared" si="185"/>
        <v>#N/A</v>
      </c>
      <c r="R84" s="1317" t="e">
        <f t="shared" si="186"/>
        <v>#N/A</v>
      </c>
      <c r="S84" s="1317" t="e">
        <f t="shared" si="187"/>
        <v>#N/A</v>
      </c>
      <c r="T84" s="1317" t="e">
        <f t="shared" si="188"/>
        <v>#N/A</v>
      </c>
      <c r="U84" s="1317" t="e">
        <f t="shared" si="189"/>
        <v>#N/A</v>
      </c>
      <c r="V84" s="1317" t="e">
        <f t="shared" si="190"/>
        <v>#N/A</v>
      </c>
      <c r="W84" s="1317" t="e">
        <f t="shared" si="191"/>
        <v>#N/A</v>
      </c>
      <c r="X84" s="1317" t="e">
        <f t="shared" si="192"/>
        <v>#N/A</v>
      </c>
      <c r="Y84" s="1317" t="e">
        <f t="shared" si="193"/>
        <v>#N/A</v>
      </c>
      <c r="Z84" s="1317" t="e">
        <f t="shared" si="115"/>
        <v>#N/A</v>
      </c>
      <c r="AA84" s="1317" t="e">
        <f t="shared" si="116"/>
        <v>#N/A</v>
      </c>
      <c r="AB84" s="1317" t="e">
        <f t="shared" si="117"/>
        <v>#N/A</v>
      </c>
      <c r="AC84" s="1317" t="e">
        <f t="shared" si="118"/>
        <v>#N/A</v>
      </c>
      <c r="AD84" s="1317" t="e">
        <f t="shared" si="119"/>
        <v>#N/A</v>
      </c>
      <c r="AE84" s="1317" t="e">
        <f t="shared" si="120"/>
        <v>#N/A</v>
      </c>
      <c r="AF84" s="1317" t="e">
        <f t="shared" si="121"/>
        <v>#N/A</v>
      </c>
      <c r="AG84" s="1317" t="e">
        <f t="shared" si="122"/>
        <v>#N/A</v>
      </c>
      <c r="AH84" s="1317" t="e">
        <f t="shared" si="123"/>
        <v>#N/A</v>
      </c>
      <c r="AI84" s="1317" t="e">
        <f t="shared" si="124"/>
        <v>#N/A</v>
      </c>
      <c r="AJ84" s="1317" t="e">
        <f t="shared" si="125"/>
        <v>#N/A</v>
      </c>
      <c r="AK84" s="1317" t="e">
        <f t="shared" si="126"/>
        <v>#N/A</v>
      </c>
      <c r="AL84" s="1317" t="e">
        <f t="shared" si="127"/>
        <v>#N/A</v>
      </c>
      <c r="AM84" s="1317" t="e">
        <f t="shared" si="128"/>
        <v>#N/A</v>
      </c>
      <c r="AN84" s="1317" t="e">
        <f t="shared" si="129"/>
        <v>#N/A</v>
      </c>
      <c r="AO84" s="1317" t="e">
        <f t="shared" si="130"/>
        <v>#N/A</v>
      </c>
      <c r="AP84" s="1317" t="e">
        <f t="shared" si="131"/>
        <v>#N/A</v>
      </c>
      <c r="AQ84" s="1317" t="e">
        <f t="shared" si="132"/>
        <v>#N/A</v>
      </c>
      <c r="AR84" s="1317" t="e">
        <f t="shared" si="133"/>
        <v>#N/A</v>
      </c>
      <c r="AS84" s="1317" t="e">
        <f t="shared" si="134"/>
        <v>#N/A</v>
      </c>
      <c r="AT84" s="1317" t="e">
        <f t="shared" si="135"/>
        <v>#N/A</v>
      </c>
      <c r="AU84" s="1317" t="e">
        <f t="shared" si="136"/>
        <v>#N/A</v>
      </c>
      <c r="AV84" s="1317" t="e">
        <f t="shared" si="137"/>
        <v>#N/A</v>
      </c>
      <c r="AW84" s="1317" t="e">
        <f t="shared" si="138"/>
        <v>#N/A</v>
      </c>
      <c r="AX84" s="1317" t="e">
        <f t="shared" si="139"/>
        <v>#N/A</v>
      </c>
      <c r="AY84" s="1317" t="e">
        <f t="shared" si="140"/>
        <v>#N/A</v>
      </c>
      <c r="AZ84" s="1317" t="e">
        <f t="shared" si="141"/>
        <v>#N/A</v>
      </c>
      <c r="BA84" s="1317" t="e">
        <f t="shared" si="142"/>
        <v>#N/A</v>
      </c>
      <c r="BB84" s="1317" t="e">
        <f t="shared" si="143"/>
        <v>#N/A</v>
      </c>
      <c r="BC84" s="1317" t="e">
        <f t="shared" si="144"/>
        <v>#N/A</v>
      </c>
      <c r="BD84" s="1317" t="e">
        <f t="shared" si="145"/>
        <v>#N/A</v>
      </c>
      <c r="BE84" s="1317" t="e">
        <f t="shared" si="146"/>
        <v>#N/A</v>
      </c>
      <c r="BF84" s="1317" t="e">
        <f t="shared" si="147"/>
        <v>#N/A</v>
      </c>
      <c r="BG84" s="1317" t="e">
        <f t="shared" si="148"/>
        <v>#N/A</v>
      </c>
      <c r="BH84" s="1317" t="e">
        <f t="shared" si="149"/>
        <v>#N/A</v>
      </c>
      <c r="BI84" s="1317" t="e">
        <f t="shared" si="150"/>
        <v>#N/A</v>
      </c>
      <c r="BJ84" s="1317" t="e">
        <f t="shared" si="151"/>
        <v>#N/A</v>
      </c>
      <c r="BK84" s="1317" t="e">
        <f t="shared" si="152"/>
        <v>#N/A</v>
      </c>
      <c r="BL84" s="1317" t="e">
        <f t="shared" si="153"/>
        <v>#N/A</v>
      </c>
      <c r="BM84" s="1317" t="e">
        <f t="shared" si="154"/>
        <v>#N/A</v>
      </c>
      <c r="BN84" s="1317" t="e">
        <f t="shared" si="155"/>
        <v>#N/A</v>
      </c>
      <c r="BO84" s="1317" t="e">
        <f t="shared" si="156"/>
        <v>#N/A</v>
      </c>
      <c r="BP84" s="1317" t="e">
        <f t="shared" si="157"/>
        <v>#N/A</v>
      </c>
      <c r="BQ84" s="1317" t="e">
        <f t="shared" si="158"/>
        <v>#N/A</v>
      </c>
      <c r="BR84" s="1317" t="e">
        <f t="shared" si="159"/>
        <v>#N/A</v>
      </c>
      <c r="BS84" s="1317" t="e">
        <f t="shared" si="160"/>
        <v>#N/A</v>
      </c>
      <c r="BT84" s="1317" t="e">
        <f t="shared" si="161"/>
        <v>#N/A</v>
      </c>
      <c r="BU84" s="1317" t="e">
        <f t="shared" si="162"/>
        <v>#N/A</v>
      </c>
      <c r="BV84" s="1317" t="e">
        <f t="shared" si="163"/>
        <v>#N/A</v>
      </c>
      <c r="BW84" s="1317" t="e">
        <f t="shared" si="164"/>
        <v>#N/A</v>
      </c>
      <c r="BX84" s="1317" t="e">
        <f t="shared" si="165"/>
        <v>#N/A</v>
      </c>
      <c r="BY84" s="1317" t="e">
        <f t="shared" si="166"/>
        <v>#N/A</v>
      </c>
      <c r="BZ84" s="1318"/>
      <c r="CA84" s="1318"/>
      <c r="CB84" s="1318"/>
      <c r="CC84" s="1318"/>
      <c r="CD84" s="1318"/>
      <c r="CE84" s="1318"/>
      <c r="CF84" s="1318"/>
      <c r="CG84" s="1318"/>
      <c r="CH84" s="1318"/>
      <c r="CI84" s="1318"/>
      <c r="CJ84" s="1318"/>
      <c r="CK84" s="1318"/>
      <c r="CL84" s="1318"/>
      <c r="CM84" s="1318"/>
      <c r="CN84" s="1318"/>
      <c r="CO84" s="1318"/>
      <c r="CP84" s="1318"/>
      <c r="CQ84" s="1318"/>
      <c r="CR84" s="1318"/>
      <c r="CS84" s="1318"/>
      <c r="CT84" s="1318"/>
      <c r="CU84" s="1318"/>
      <c r="CV84" s="1318"/>
      <c r="CW84" s="1318"/>
      <c r="CX84" s="1318"/>
      <c r="CY84" s="1318"/>
      <c r="CZ84" s="1318"/>
      <c r="DA84" s="1318"/>
      <c r="DB84" s="1318"/>
      <c r="DC84" s="1318"/>
      <c r="DD84" s="1318"/>
      <c r="DE84" s="1318"/>
      <c r="DF84" s="1318"/>
      <c r="DG84" s="1318"/>
      <c r="DH84" s="1318"/>
      <c r="DI84" s="1318"/>
      <c r="DJ84" s="1318"/>
      <c r="DK84" s="1318"/>
      <c r="DL84" s="1318"/>
      <c r="DM84" s="1318"/>
      <c r="DN84" s="1318"/>
      <c r="DO84" s="1318"/>
      <c r="DP84" s="1318"/>
      <c r="DQ84" s="1318"/>
      <c r="DR84" s="1318"/>
      <c r="DS84" s="1318"/>
      <c r="DT84" s="1318"/>
      <c r="DU84" s="1318"/>
      <c r="DV84" s="1318"/>
      <c r="DW84" s="1318"/>
      <c r="DX84" s="1318"/>
      <c r="DY84" s="1318"/>
      <c r="DZ84" s="1318"/>
      <c r="EA84" s="1318"/>
      <c r="EB84" s="1318"/>
      <c r="EC84" s="1318"/>
      <c r="ED84" s="1318"/>
      <c r="EE84" s="1318"/>
      <c r="EF84" s="1318"/>
      <c r="EG84" s="1318"/>
      <c r="EH84" s="1318"/>
      <c r="EI84" s="1318"/>
      <c r="EJ84" s="1318"/>
      <c r="EK84" s="1318"/>
      <c r="EL84" s="1318"/>
      <c r="EM84" s="1318"/>
      <c r="EN84" s="1318"/>
      <c r="EO84" s="1318"/>
      <c r="EP84" s="1318"/>
      <c r="EQ84" s="1318"/>
      <c r="ER84" s="1318"/>
      <c r="ES84" s="1318"/>
      <c r="ET84" s="1318"/>
      <c r="EU84" s="1318"/>
      <c r="EV84" s="1318"/>
      <c r="EW84" s="1318"/>
      <c r="EX84" s="1318"/>
      <c r="EY84" s="1318"/>
      <c r="EZ84" s="1318"/>
      <c r="FA84" s="1318"/>
      <c r="FB84" s="1318"/>
      <c r="FC84" s="1318"/>
      <c r="FD84" s="1318"/>
      <c r="FE84" s="1318"/>
      <c r="FF84" s="1318"/>
      <c r="FG84" s="1318"/>
      <c r="FH84" s="1318"/>
      <c r="FI84" s="1318"/>
      <c r="FJ84" s="1318"/>
      <c r="FK84" s="1318"/>
      <c r="FL84" s="1318"/>
      <c r="FM84" s="1318"/>
      <c r="FN84" s="1318"/>
      <c r="FO84" s="1318"/>
      <c r="FP84" s="1318"/>
      <c r="FQ84" s="1318"/>
      <c r="FR84" s="1318"/>
      <c r="FS84" s="1318"/>
      <c r="FT84" s="1318"/>
      <c r="FU84" s="1318"/>
      <c r="FV84" s="1318"/>
      <c r="FW84" s="1318"/>
      <c r="FX84" s="1318"/>
      <c r="FY84" s="1318"/>
      <c r="FZ84" s="1318"/>
      <c r="GA84" s="1318"/>
      <c r="GB84" s="1318"/>
      <c r="GC84" s="1318"/>
      <c r="GD84" s="1318"/>
      <c r="GE84" s="1318"/>
      <c r="GF84" s="1318"/>
      <c r="GG84" s="1318"/>
      <c r="GH84" s="1318"/>
      <c r="GI84" s="1318"/>
      <c r="GJ84" s="1318"/>
      <c r="GK84" s="1318"/>
      <c r="GL84" s="1318"/>
      <c r="GM84" s="1318"/>
      <c r="GN84" s="1318"/>
      <c r="GO84" s="1318"/>
      <c r="GP84" s="1318"/>
      <c r="GQ84" s="1318"/>
      <c r="GR84" s="1318"/>
      <c r="GS84" s="1318"/>
      <c r="GT84" s="1318"/>
      <c r="GU84" s="1318"/>
      <c r="GV84" s="1318"/>
      <c r="GW84" s="1318"/>
      <c r="GX84" s="1318"/>
      <c r="GY84" s="1318"/>
      <c r="GZ84" s="1318"/>
      <c r="HA84" s="1318"/>
      <c r="HB84" s="1318"/>
      <c r="HC84" s="1318"/>
      <c r="HD84" s="1318"/>
      <c r="HE84" s="1318"/>
      <c r="HF84" s="1318"/>
      <c r="HG84" s="1318"/>
      <c r="HH84" s="1318"/>
      <c r="HI84" s="1318"/>
      <c r="HJ84" s="1318"/>
      <c r="HK84" s="1318"/>
      <c r="HL84" s="1318"/>
      <c r="HM84" s="1318"/>
      <c r="HN84" s="1318"/>
      <c r="HO84" s="1318"/>
      <c r="HP84" s="1318"/>
      <c r="HQ84" s="1318"/>
      <c r="HR84" s="1318"/>
      <c r="HS84" s="1318"/>
      <c r="HT84" s="1318"/>
      <c r="HU84" s="1318"/>
      <c r="HV84" s="1318"/>
      <c r="HW84" s="1318"/>
      <c r="HX84" s="1318"/>
      <c r="HY84" s="1318"/>
      <c r="HZ84" s="1318"/>
      <c r="IA84" s="1318"/>
      <c r="IB84" s="1318"/>
      <c r="IC84" s="1318"/>
      <c r="ID84" s="1318"/>
      <c r="IE84" s="1318"/>
      <c r="IF84" s="1318"/>
      <c r="IG84" s="1318"/>
      <c r="IH84" s="1318"/>
      <c r="II84" s="1318"/>
      <c r="IJ84" s="1318"/>
      <c r="IK84" s="1318"/>
      <c r="IL84" s="1318"/>
      <c r="IM84" s="1318"/>
      <c r="IN84" s="1318"/>
      <c r="IO84" s="1318"/>
      <c r="IP84" s="1318"/>
      <c r="IQ84" s="1318"/>
      <c r="IR84" s="1318"/>
      <c r="IS84" s="1318"/>
      <c r="IT84" s="1318"/>
      <c r="IU84" s="1318"/>
      <c r="IV84" s="1318"/>
      <c r="IW84" s="1318"/>
      <c r="IX84" s="1318"/>
      <c r="IY84" s="1318"/>
      <c r="IZ84" s="1318"/>
      <c r="JA84" s="1318"/>
      <c r="JB84" s="1318"/>
      <c r="JC84" s="1318"/>
      <c r="JD84" s="1318"/>
      <c r="JE84" s="1318"/>
      <c r="JF84" s="1318"/>
      <c r="JG84" s="1318"/>
      <c r="JH84" s="1318"/>
      <c r="JI84" s="1318"/>
      <c r="JJ84" s="1318"/>
      <c r="JK84" s="1318"/>
      <c r="JL84" s="1318"/>
      <c r="JM84" s="1318"/>
      <c r="JN84" s="1318"/>
      <c r="JO84" s="1318"/>
      <c r="JP84" s="1318"/>
      <c r="JQ84" s="1318"/>
      <c r="JR84" s="1318"/>
      <c r="JS84" s="1318"/>
      <c r="JT84" s="1318"/>
      <c r="JU84" s="1318"/>
      <c r="JV84" s="1318"/>
      <c r="JW84" s="1318"/>
      <c r="JX84" s="1318"/>
      <c r="JY84" s="1318"/>
      <c r="JZ84" s="1318"/>
      <c r="KA84" s="1318"/>
      <c r="KB84" s="1318"/>
      <c r="KC84" s="1318"/>
      <c r="KD84" s="1318"/>
      <c r="KE84" s="1318"/>
      <c r="KF84" s="1318"/>
      <c r="KG84" s="1318"/>
      <c r="KH84" s="1318"/>
      <c r="KI84" s="1318"/>
      <c r="KJ84" s="1318"/>
      <c r="KK84" s="1318"/>
      <c r="KL84" s="1318"/>
      <c r="KM84" s="1318"/>
      <c r="KN84" s="1318"/>
      <c r="KO84" s="1318"/>
      <c r="KP84" s="1318"/>
      <c r="KQ84" s="1318"/>
      <c r="KR84" s="1318"/>
      <c r="KS84" s="1318"/>
      <c r="KT84" s="1318"/>
      <c r="KU84" s="1318"/>
      <c r="KV84" s="1318"/>
    </row>
    <row r="85" spans="1:308" s="59" customFormat="1" ht="12" x14ac:dyDescent="0.2">
      <c r="A85" s="440" t="s">
        <v>109</v>
      </c>
      <c r="B85" s="1312">
        <v>1682</v>
      </c>
      <c r="C85" s="1316">
        <v>5500</v>
      </c>
      <c r="D85" s="1316">
        <f t="shared" si="172"/>
        <v>5720</v>
      </c>
      <c r="E85" s="1316">
        <f t="shared" si="173"/>
        <v>5966</v>
      </c>
      <c r="F85" s="1316">
        <f t="shared" si="174"/>
        <v>6145</v>
      </c>
      <c r="G85" s="1316">
        <f t="shared" si="175"/>
        <v>6373</v>
      </c>
      <c r="H85" s="1316">
        <f t="shared" si="176"/>
        <v>6628</v>
      </c>
      <c r="I85" s="1316">
        <f t="shared" si="177"/>
        <v>6894</v>
      </c>
      <c r="J85" s="1317">
        <f t="shared" si="178"/>
        <v>7170</v>
      </c>
      <c r="K85" s="1317" t="e">
        <f t="shared" si="179"/>
        <v>#N/A</v>
      </c>
      <c r="L85" s="1317" t="e">
        <f t="shared" si="180"/>
        <v>#N/A</v>
      </c>
      <c r="M85" s="1317" t="e">
        <f t="shared" si="181"/>
        <v>#N/A</v>
      </c>
      <c r="N85" s="1317" t="e">
        <f t="shared" si="182"/>
        <v>#N/A</v>
      </c>
      <c r="O85" s="1317" t="e">
        <f t="shared" si="183"/>
        <v>#N/A</v>
      </c>
      <c r="P85" s="1317" t="e">
        <f t="shared" si="184"/>
        <v>#N/A</v>
      </c>
      <c r="Q85" s="1317" t="e">
        <f t="shared" si="185"/>
        <v>#N/A</v>
      </c>
      <c r="R85" s="1317" t="e">
        <f t="shared" si="186"/>
        <v>#N/A</v>
      </c>
      <c r="S85" s="1317" t="e">
        <f t="shared" si="187"/>
        <v>#N/A</v>
      </c>
      <c r="T85" s="1317" t="e">
        <f t="shared" si="188"/>
        <v>#N/A</v>
      </c>
      <c r="U85" s="1317" t="e">
        <f t="shared" si="189"/>
        <v>#N/A</v>
      </c>
      <c r="V85" s="1317" t="e">
        <f t="shared" si="190"/>
        <v>#N/A</v>
      </c>
      <c r="W85" s="1317" t="e">
        <f t="shared" si="191"/>
        <v>#N/A</v>
      </c>
      <c r="X85" s="1317" t="e">
        <f t="shared" si="192"/>
        <v>#N/A</v>
      </c>
      <c r="Y85" s="1317" t="e">
        <f t="shared" si="193"/>
        <v>#N/A</v>
      </c>
      <c r="Z85" s="1317" t="e">
        <f t="shared" si="115"/>
        <v>#N/A</v>
      </c>
      <c r="AA85" s="1317" t="e">
        <f t="shared" si="116"/>
        <v>#N/A</v>
      </c>
      <c r="AB85" s="1317" t="e">
        <f t="shared" si="117"/>
        <v>#N/A</v>
      </c>
      <c r="AC85" s="1317" t="e">
        <f t="shared" si="118"/>
        <v>#N/A</v>
      </c>
      <c r="AD85" s="1317" t="e">
        <f t="shared" si="119"/>
        <v>#N/A</v>
      </c>
      <c r="AE85" s="1317" t="e">
        <f t="shared" si="120"/>
        <v>#N/A</v>
      </c>
      <c r="AF85" s="1317" t="e">
        <f t="shared" si="121"/>
        <v>#N/A</v>
      </c>
      <c r="AG85" s="1317" t="e">
        <f t="shared" si="122"/>
        <v>#N/A</v>
      </c>
      <c r="AH85" s="1317" t="e">
        <f t="shared" si="123"/>
        <v>#N/A</v>
      </c>
      <c r="AI85" s="1317" t="e">
        <f t="shared" si="124"/>
        <v>#N/A</v>
      </c>
      <c r="AJ85" s="1317" t="e">
        <f t="shared" si="125"/>
        <v>#N/A</v>
      </c>
      <c r="AK85" s="1317" t="e">
        <f t="shared" si="126"/>
        <v>#N/A</v>
      </c>
      <c r="AL85" s="1317" t="e">
        <f t="shared" si="127"/>
        <v>#N/A</v>
      </c>
      <c r="AM85" s="1317" t="e">
        <f t="shared" si="128"/>
        <v>#N/A</v>
      </c>
      <c r="AN85" s="1317" t="e">
        <f t="shared" si="129"/>
        <v>#N/A</v>
      </c>
      <c r="AO85" s="1317" t="e">
        <f t="shared" si="130"/>
        <v>#N/A</v>
      </c>
      <c r="AP85" s="1317" t="e">
        <f t="shared" si="131"/>
        <v>#N/A</v>
      </c>
      <c r="AQ85" s="1317" t="e">
        <f t="shared" si="132"/>
        <v>#N/A</v>
      </c>
      <c r="AR85" s="1317" t="e">
        <f t="shared" si="133"/>
        <v>#N/A</v>
      </c>
      <c r="AS85" s="1317" t="e">
        <f t="shared" si="134"/>
        <v>#N/A</v>
      </c>
      <c r="AT85" s="1317" t="e">
        <f t="shared" si="135"/>
        <v>#N/A</v>
      </c>
      <c r="AU85" s="1317" t="e">
        <f t="shared" si="136"/>
        <v>#N/A</v>
      </c>
      <c r="AV85" s="1317" t="e">
        <f t="shared" si="137"/>
        <v>#N/A</v>
      </c>
      <c r="AW85" s="1317" t="e">
        <f t="shared" si="138"/>
        <v>#N/A</v>
      </c>
      <c r="AX85" s="1317" t="e">
        <f t="shared" si="139"/>
        <v>#N/A</v>
      </c>
      <c r="AY85" s="1317" t="e">
        <f t="shared" si="140"/>
        <v>#N/A</v>
      </c>
      <c r="AZ85" s="1317" t="e">
        <f t="shared" si="141"/>
        <v>#N/A</v>
      </c>
      <c r="BA85" s="1317" t="e">
        <f t="shared" si="142"/>
        <v>#N/A</v>
      </c>
      <c r="BB85" s="1317" t="e">
        <f t="shared" si="143"/>
        <v>#N/A</v>
      </c>
      <c r="BC85" s="1317" t="e">
        <f t="shared" si="144"/>
        <v>#N/A</v>
      </c>
      <c r="BD85" s="1317" t="e">
        <f t="shared" si="145"/>
        <v>#N/A</v>
      </c>
      <c r="BE85" s="1317" t="e">
        <f t="shared" si="146"/>
        <v>#N/A</v>
      </c>
      <c r="BF85" s="1317" t="e">
        <f t="shared" si="147"/>
        <v>#N/A</v>
      </c>
      <c r="BG85" s="1317" t="e">
        <f t="shared" si="148"/>
        <v>#N/A</v>
      </c>
      <c r="BH85" s="1317" t="e">
        <f t="shared" si="149"/>
        <v>#N/A</v>
      </c>
      <c r="BI85" s="1317" t="e">
        <f t="shared" si="150"/>
        <v>#N/A</v>
      </c>
      <c r="BJ85" s="1317" t="e">
        <f t="shared" si="151"/>
        <v>#N/A</v>
      </c>
      <c r="BK85" s="1317" t="e">
        <f t="shared" si="152"/>
        <v>#N/A</v>
      </c>
      <c r="BL85" s="1317" t="e">
        <f t="shared" si="153"/>
        <v>#N/A</v>
      </c>
      <c r="BM85" s="1317" t="e">
        <f t="shared" si="154"/>
        <v>#N/A</v>
      </c>
      <c r="BN85" s="1317" t="e">
        <f t="shared" si="155"/>
        <v>#N/A</v>
      </c>
      <c r="BO85" s="1317" t="e">
        <f t="shared" si="156"/>
        <v>#N/A</v>
      </c>
      <c r="BP85" s="1317" t="e">
        <f t="shared" si="157"/>
        <v>#N/A</v>
      </c>
      <c r="BQ85" s="1317" t="e">
        <f t="shared" si="158"/>
        <v>#N/A</v>
      </c>
      <c r="BR85" s="1317" t="e">
        <f t="shared" si="159"/>
        <v>#N/A</v>
      </c>
      <c r="BS85" s="1317" t="e">
        <f t="shared" si="160"/>
        <v>#N/A</v>
      </c>
      <c r="BT85" s="1317" t="e">
        <f t="shared" si="161"/>
        <v>#N/A</v>
      </c>
      <c r="BU85" s="1317" t="e">
        <f t="shared" si="162"/>
        <v>#N/A</v>
      </c>
      <c r="BV85" s="1317" t="e">
        <f t="shared" si="163"/>
        <v>#N/A</v>
      </c>
      <c r="BW85" s="1317" t="e">
        <f t="shared" si="164"/>
        <v>#N/A</v>
      </c>
      <c r="BX85" s="1317" t="e">
        <f t="shared" si="165"/>
        <v>#N/A</v>
      </c>
      <c r="BY85" s="1317" t="e">
        <f t="shared" si="166"/>
        <v>#N/A</v>
      </c>
      <c r="BZ85" s="1318"/>
      <c r="CA85" s="1318"/>
      <c r="CB85" s="1318"/>
      <c r="CC85" s="1318"/>
      <c r="CD85" s="1318"/>
      <c r="CE85" s="1318"/>
      <c r="CF85" s="1318"/>
      <c r="CG85" s="1318"/>
      <c r="CH85" s="1318"/>
      <c r="CI85" s="1318"/>
      <c r="CJ85" s="1318"/>
      <c r="CK85" s="1318"/>
      <c r="CL85" s="1318"/>
      <c r="CM85" s="1318"/>
      <c r="CN85" s="1318"/>
      <c r="CO85" s="1318"/>
      <c r="CP85" s="1318"/>
      <c r="CQ85" s="1318"/>
      <c r="CR85" s="1318"/>
      <c r="CS85" s="1318"/>
      <c r="CT85" s="1318"/>
      <c r="CU85" s="1318"/>
      <c r="CV85" s="1318"/>
      <c r="CW85" s="1318"/>
      <c r="CX85" s="1318"/>
      <c r="CY85" s="1318"/>
      <c r="CZ85" s="1318"/>
      <c r="DA85" s="1318"/>
      <c r="DB85" s="1318"/>
      <c r="DC85" s="1318"/>
      <c r="DD85" s="1318"/>
      <c r="DE85" s="1318"/>
      <c r="DF85" s="1318"/>
      <c r="DG85" s="1318"/>
      <c r="DH85" s="1318"/>
      <c r="DI85" s="1318"/>
      <c r="DJ85" s="1318"/>
      <c r="DK85" s="1318"/>
      <c r="DL85" s="1318"/>
      <c r="DM85" s="1318"/>
      <c r="DN85" s="1318"/>
      <c r="DO85" s="1318"/>
      <c r="DP85" s="1318"/>
      <c r="DQ85" s="1318"/>
      <c r="DR85" s="1318"/>
      <c r="DS85" s="1318"/>
      <c r="DT85" s="1318"/>
      <c r="DU85" s="1318"/>
      <c r="DV85" s="1318"/>
      <c r="DW85" s="1318"/>
      <c r="DX85" s="1318"/>
      <c r="DY85" s="1318"/>
      <c r="DZ85" s="1318"/>
      <c r="EA85" s="1318"/>
      <c r="EB85" s="1318"/>
      <c r="EC85" s="1318"/>
      <c r="ED85" s="1318"/>
      <c r="EE85" s="1318"/>
      <c r="EF85" s="1318"/>
      <c r="EG85" s="1318"/>
      <c r="EH85" s="1318"/>
      <c r="EI85" s="1318"/>
      <c r="EJ85" s="1318"/>
      <c r="EK85" s="1318"/>
      <c r="EL85" s="1318"/>
      <c r="EM85" s="1318"/>
      <c r="EN85" s="1318"/>
      <c r="EO85" s="1318"/>
      <c r="EP85" s="1318"/>
      <c r="EQ85" s="1318"/>
      <c r="ER85" s="1318"/>
      <c r="ES85" s="1318"/>
      <c r="ET85" s="1318"/>
      <c r="EU85" s="1318"/>
      <c r="EV85" s="1318"/>
      <c r="EW85" s="1318"/>
      <c r="EX85" s="1318"/>
      <c r="EY85" s="1318"/>
      <c r="EZ85" s="1318"/>
      <c r="FA85" s="1318"/>
      <c r="FB85" s="1318"/>
      <c r="FC85" s="1318"/>
      <c r="FD85" s="1318"/>
      <c r="FE85" s="1318"/>
      <c r="FF85" s="1318"/>
      <c r="FG85" s="1318"/>
      <c r="FH85" s="1318"/>
      <c r="FI85" s="1318"/>
      <c r="FJ85" s="1318"/>
      <c r="FK85" s="1318"/>
      <c r="FL85" s="1318"/>
      <c r="FM85" s="1318"/>
      <c r="FN85" s="1318"/>
      <c r="FO85" s="1318"/>
      <c r="FP85" s="1318"/>
      <c r="FQ85" s="1318"/>
      <c r="FR85" s="1318"/>
      <c r="FS85" s="1318"/>
      <c r="FT85" s="1318"/>
      <c r="FU85" s="1318"/>
      <c r="FV85" s="1318"/>
      <c r="FW85" s="1318"/>
      <c r="FX85" s="1318"/>
      <c r="FY85" s="1318"/>
      <c r="FZ85" s="1318"/>
      <c r="GA85" s="1318"/>
      <c r="GB85" s="1318"/>
      <c r="GC85" s="1318"/>
      <c r="GD85" s="1318"/>
      <c r="GE85" s="1318"/>
      <c r="GF85" s="1318"/>
      <c r="GG85" s="1318"/>
      <c r="GH85" s="1318"/>
      <c r="GI85" s="1318"/>
      <c r="GJ85" s="1318"/>
      <c r="GK85" s="1318"/>
      <c r="GL85" s="1318"/>
      <c r="GM85" s="1318"/>
      <c r="GN85" s="1318"/>
      <c r="GO85" s="1318"/>
      <c r="GP85" s="1318"/>
      <c r="GQ85" s="1318"/>
      <c r="GR85" s="1318"/>
      <c r="GS85" s="1318"/>
      <c r="GT85" s="1318"/>
      <c r="GU85" s="1318"/>
      <c r="GV85" s="1318"/>
      <c r="GW85" s="1318"/>
      <c r="GX85" s="1318"/>
      <c r="GY85" s="1318"/>
      <c r="GZ85" s="1318"/>
      <c r="HA85" s="1318"/>
      <c r="HB85" s="1318"/>
      <c r="HC85" s="1318"/>
      <c r="HD85" s="1318"/>
      <c r="HE85" s="1318"/>
      <c r="HF85" s="1318"/>
      <c r="HG85" s="1318"/>
      <c r="HH85" s="1318"/>
      <c r="HI85" s="1318"/>
      <c r="HJ85" s="1318"/>
      <c r="HK85" s="1318"/>
      <c r="HL85" s="1318"/>
      <c r="HM85" s="1318"/>
      <c r="HN85" s="1318"/>
      <c r="HO85" s="1318"/>
      <c r="HP85" s="1318"/>
      <c r="HQ85" s="1318"/>
      <c r="HR85" s="1318"/>
      <c r="HS85" s="1318"/>
      <c r="HT85" s="1318"/>
      <c r="HU85" s="1318"/>
      <c r="HV85" s="1318"/>
      <c r="HW85" s="1318"/>
      <c r="HX85" s="1318"/>
      <c r="HY85" s="1318"/>
      <c r="HZ85" s="1318"/>
      <c r="IA85" s="1318"/>
      <c r="IB85" s="1318"/>
      <c r="IC85" s="1318"/>
      <c r="ID85" s="1318"/>
      <c r="IE85" s="1318"/>
      <c r="IF85" s="1318"/>
      <c r="IG85" s="1318"/>
      <c r="IH85" s="1318"/>
      <c r="II85" s="1318"/>
      <c r="IJ85" s="1318"/>
      <c r="IK85" s="1318"/>
      <c r="IL85" s="1318"/>
      <c r="IM85" s="1318"/>
      <c r="IN85" s="1318"/>
      <c r="IO85" s="1318"/>
      <c r="IP85" s="1318"/>
      <c r="IQ85" s="1318"/>
      <c r="IR85" s="1318"/>
      <c r="IS85" s="1318"/>
      <c r="IT85" s="1318"/>
      <c r="IU85" s="1318"/>
      <c r="IV85" s="1318"/>
      <c r="IW85" s="1318"/>
      <c r="IX85" s="1318"/>
      <c r="IY85" s="1318"/>
      <c r="IZ85" s="1318"/>
      <c r="JA85" s="1318"/>
      <c r="JB85" s="1318"/>
      <c r="JC85" s="1318"/>
      <c r="JD85" s="1318"/>
      <c r="JE85" s="1318"/>
      <c r="JF85" s="1318"/>
      <c r="JG85" s="1318"/>
      <c r="JH85" s="1318"/>
      <c r="JI85" s="1318"/>
      <c r="JJ85" s="1318"/>
      <c r="JK85" s="1318"/>
      <c r="JL85" s="1318"/>
      <c r="JM85" s="1318"/>
      <c r="JN85" s="1318"/>
      <c r="JO85" s="1318"/>
      <c r="JP85" s="1318"/>
      <c r="JQ85" s="1318"/>
      <c r="JR85" s="1318"/>
      <c r="JS85" s="1318"/>
      <c r="JT85" s="1318"/>
      <c r="JU85" s="1318"/>
      <c r="JV85" s="1318"/>
      <c r="JW85" s="1318"/>
      <c r="JX85" s="1318"/>
      <c r="JY85" s="1318"/>
      <c r="JZ85" s="1318"/>
      <c r="KA85" s="1318"/>
      <c r="KB85" s="1318"/>
      <c r="KC85" s="1318"/>
      <c r="KD85" s="1318"/>
      <c r="KE85" s="1318"/>
      <c r="KF85" s="1318"/>
      <c r="KG85" s="1318"/>
      <c r="KH85" s="1318"/>
      <c r="KI85" s="1318"/>
      <c r="KJ85" s="1318"/>
      <c r="KK85" s="1318"/>
      <c r="KL85" s="1318"/>
      <c r="KM85" s="1318"/>
      <c r="KN85" s="1318"/>
      <c r="KO85" s="1318"/>
      <c r="KP85" s="1318"/>
      <c r="KQ85" s="1318"/>
      <c r="KR85" s="1318"/>
      <c r="KS85" s="1318"/>
      <c r="KT85" s="1318"/>
      <c r="KU85" s="1318"/>
      <c r="KV85" s="1318"/>
    </row>
    <row r="86" spans="1:308" s="56" customFormat="1" ht="12.75" thickBot="1" x14ac:dyDescent="0.25">
      <c r="A86" s="442" t="s">
        <v>102</v>
      </c>
      <c r="B86" s="1319">
        <v>1637</v>
      </c>
      <c r="C86" s="1320">
        <v>5000</v>
      </c>
      <c r="D86" s="1320">
        <f t="shared" ref="D86:Y86" si="194">ROUNDUP(C86*(D$65+1),0)</f>
        <v>5200</v>
      </c>
      <c r="E86" s="1320">
        <f t="shared" si="194"/>
        <v>5424</v>
      </c>
      <c r="F86" s="1320">
        <f t="shared" si="194"/>
        <v>5587</v>
      </c>
      <c r="G86" s="1320">
        <f t="shared" si="194"/>
        <v>5794</v>
      </c>
      <c r="H86" s="1320">
        <f t="shared" si="194"/>
        <v>6026</v>
      </c>
      <c r="I86" s="1320">
        <f t="shared" si="194"/>
        <v>6268</v>
      </c>
      <c r="J86" s="1321">
        <f t="shared" si="194"/>
        <v>6519</v>
      </c>
      <c r="K86" s="1321" t="e">
        <f t="shared" si="194"/>
        <v>#N/A</v>
      </c>
      <c r="L86" s="1321" t="e">
        <f t="shared" si="194"/>
        <v>#N/A</v>
      </c>
      <c r="M86" s="1321" t="e">
        <f t="shared" si="194"/>
        <v>#N/A</v>
      </c>
      <c r="N86" s="1321" t="e">
        <f t="shared" si="194"/>
        <v>#N/A</v>
      </c>
      <c r="O86" s="1321" t="e">
        <f t="shared" si="194"/>
        <v>#N/A</v>
      </c>
      <c r="P86" s="1321" t="e">
        <f t="shared" si="194"/>
        <v>#N/A</v>
      </c>
      <c r="Q86" s="1321" t="e">
        <f t="shared" si="194"/>
        <v>#N/A</v>
      </c>
      <c r="R86" s="1321" t="e">
        <f t="shared" si="194"/>
        <v>#N/A</v>
      </c>
      <c r="S86" s="1321" t="e">
        <f t="shared" si="194"/>
        <v>#N/A</v>
      </c>
      <c r="T86" s="1321" t="e">
        <f t="shared" si="194"/>
        <v>#N/A</v>
      </c>
      <c r="U86" s="1321" t="e">
        <f t="shared" si="194"/>
        <v>#N/A</v>
      </c>
      <c r="V86" s="1321" t="e">
        <f t="shared" si="194"/>
        <v>#N/A</v>
      </c>
      <c r="W86" s="1321" t="e">
        <f t="shared" si="194"/>
        <v>#N/A</v>
      </c>
      <c r="X86" s="1321" t="e">
        <f t="shared" si="194"/>
        <v>#N/A</v>
      </c>
      <c r="Y86" s="1321" t="e">
        <f t="shared" si="194"/>
        <v>#N/A</v>
      </c>
      <c r="Z86" s="1321" t="e">
        <f t="shared" si="115"/>
        <v>#N/A</v>
      </c>
      <c r="AA86" s="1321" t="e">
        <f t="shared" si="116"/>
        <v>#N/A</v>
      </c>
      <c r="AB86" s="1321" t="e">
        <f t="shared" si="117"/>
        <v>#N/A</v>
      </c>
      <c r="AC86" s="1321" t="e">
        <f t="shared" si="118"/>
        <v>#N/A</v>
      </c>
      <c r="AD86" s="1321" t="e">
        <f t="shared" si="119"/>
        <v>#N/A</v>
      </c>
      <c r="AE86" s="1321" t="e">
        <f t="shared" si="120"/>
        <v>#N/A</v>
      </c>
      <c r="AF86" s="1321" t="e">
        <f t="shared" si="121"/>
        <v>#N/A</v>
      </c>
      <c r="AG86" s="1321" t="e">
        <f t="shared" si="122"/>
        <v>#N/A</v>
      </c>
      <c r="AH86" s="1321" t="e">
        <f t="shared" si="123"/>
        <v>#N/A</v>
      </c>
      <c r="AI86" s="1321" t="e">
        <f t="shared" si="124"/>
        <v>#N/A</v>
      </c>
      <c r="AJ86" s="1321" t="e">
        <f t="shared" si="125"/>
        <v>#N/A</v>
      </c>
      <c r="AK86" s="1321" t="e">
        <f t="shared" si="126"/>
        <v>#N/A</v>
      </c>
      <c r="AL86" s="1321" t="e">
        <f t="shared" si="127"/>
        <v>#N/A</v>
      </c>
      <c r="AM86" s="1321" t="e">
        <f t="shared" si="128"/>
        <v>#N/A</v>
      </c>
      <c r="AN86" s="1321" t="e">
        <f t="shared" si="129"/>
        <v>#N/A</v>
      </c>
      <c r="AO86" s="1321" t="e">
        <f t="shared" si="130"/>
        <v>#N/A</v>
      </c>
      <c r="AP86" s="1321" t="e">
        <f t="shared" si="131"/>
        <v>#N/A</v>
      </c>
      <c r="AQ86" s="1321" t="e">
        <f t="shared" si="132"/>
        <v>#N/A</v>
      </c>
      <c r="AR86" s="1321" t="e">
        <f t="shared" si="133"/>
        <v>#N/A</v>
      </c>
      <c r="AS86" s="1321" t="e">
        <f t="shared" si="134"/>
        <v>#N/A</v>
      </c>
      <c r="AT86" s="1321" t="e">
        <f t="shared" si="135"/>
        <v>#N/A</v>
      </c>
      <c r="AU86" s="1321" t="e">
        <f t="shared" si="136"/>
        <v>#N/A</v>
      </c>
      <c r="AV86" s="1321" t="e">
        <f t="shared" si="137"/>
        <v>#N/A</v>
      </c>
      <c r="AW86" s="1321" t="e">
        <f t="shared" si="138"/>
        <v>#N/A</v>
      </c>
      <c r="AX86" s="1321" t="e">
        <f t="shared" si="139"/>
        <v>#N/A</v>
      </c>
      <c r="AY86" s="1321" t="e">
        <f t="shared" si="140"/>
        <v>#N/A</v>
      </c>
      <c r="AZ86" s="1321" t="e">
        <f t="shared" si="141"/>
        <v>#N/A</v>
      </c>
      <c r="BA86" s="1321" t="e">
        <f t="shared" si="142"/>
        <v>#N/A</v>
      </c>
      <c r="BB86" s="1321" t="e">
        <f t="shared" si="143"/>
        <v>#N/A</v>
      </c>
      <c r="BC86" s="1321" t="e">
        <f t="shared" si="144"/>
        <v>#N/A</v>
      </c>
      <c r="BD86" s="1321" t="e">
        <f t="shared" si="145"/>
        <v>#N/A</v>
      </c>
      <c r="BE86" s="1321" t="e">
        <f t="shared" si="146"/>
        <v>#N/A</v>
      </c>
      <c r="BF86" s="1321" t="e">
        <f t="shared" si="147"/>
        <v>#N/A</v>
      </c>
      <c r="BG86" s="1321" t="e">
        <f t="shared" si="148"/>
        <v>#N/A</v>
      </c>
      <c r="BH86" s="1321" t="e">
        <f t="shared" si="149"/>
        <v>#N/A</v>
      </c>
      <c r="BI86" s="1321" t="e">
        <f t="shared" si="150"/>
        <v>#N/A</v>
      </c>
      <c r="BJ86" s="1321" t="e">
        <f t="shared" si="151"/>
        <v>#N/A</v>
      </c>
      <c r="BK86" s="1321" t="e">
        <f t="shared" si="152"/>
        <v>#N/A</v>
      </c>
      <c r="BL86" s="1321" t="e">
        <f t="shared" si="153"/>
        <v>#N/A</v>
      </c>
      <c r="BM86" s="1321" t="e">
        <f t="shared" si="154"/>
        <v>#N/A</v>
      </c>
      <c r="BN86" s="1321" t="e">
        <f t="shared" si="155"/>
        <v>#N/A</v>
      </c>
      <c r="BO86" s="1321" t="e">
        <f t="shared" si="156"/>
        <v>#N/A</v>
      </c>
      <c r="BP86" s="1321" t="e">
        <f t="shared" si="157"/>
        <v>#N/A</v>
      </c>
      <c r="BQ86" s="1321" t="e">
        <f t="shared" si="158"/>
        <v>#N/A</v>
      </c>
      <c r="BR86" s="1321" t="e">
        <f t="shared" si="159"/>
        <v>#N/A</v>
      </c>
      <c r="BS86" s="1321" t="e">
        <f t="shared" si="160"/>
        <v>#N/A</v>
      </c>
      <c r="BT86" s="1321" t="e">
        <f t="shared" si="161"/>
        <v>#N/A</v>
      </c>
      <c r="BU86" s="1321" t="e">
        <f t="shared" si="162"/>
        <v>#N/A</v>
      </c>
      <c r="BV86" s="1321" t="e">
        <f t="shared" si="163"/>
        <v>#N/A</v>
      </c>
      <c r="BW86" s="1321" t="e">
        <f t="shared" si="164"/>
        <v>#N/A</v>
      </c>
      <c r="BX86" s="1321" t="e">
        <f t="shared" si="165"/>
        <v>#N/A</v>
      </c>
      <c r="BY86" s="1321" t="e">
        <f t="shared" si="166"/>
        <v>#N/A</v>
      </c>
      <c r="BZ86" s="1322"/>
      <c r="CA86" s="1322"/>
      <c r="CB86" s="1322"/>
      <c r="CC86" s="1322"/>
      <c r="CD86" s="1322"/>
      <c r="CE86" s="1322"/>
      <c r="CF86" s="1322"/>
      <c r="CG86" s="1322"/>
      <c r="CH86" s="1322"/>
      <c r="CI86" s="1322"/>
      <c r="CJ86" s="1322"/>
      <c r="CK86" s="1322"/>
      <c r="CL86" s="1322"/>
      <c r="CM86" s="1322"/>
      <c r="CN86" s="1322"/>
      <c r="CO86" s="1322"/>
      <c r="CP86" s="1322"/>
      <c r="CQ86" s="1322"/>
      <c r="CR86" s="1322"/>
      <c r="CS86" s="1322"/>
      <c r="CT86" s="1322"/>
      <c r="CU86" s="1322"/>
      <c r="CV86" s="1322"/>
      <c r="CW86" s="1322"/>
      <c r="CX86" s="1322"/>
      <c r="CY86" s="1322"/>
      <c r="CZ86" s="1322"/>
      <c r="DA86" s="1322"/>
      <c r="DB86" s="1322"/>
      <c r="DC86" s="1322"/>
      <c r="DD86" s="1322"/>
      <c r="DE86" s="1322"/>
      <c r="DF86" s="1322"/>
      <c r="DG86" s="1322"/>
      <c r="DH86" s="1322"/>
      <c r="DI86" s="1322"/>
      <c r="DJ86" s="1322"/>
      <c r="DK86" s="1322"/>
      <c r="DL86" s="1322"/>
      <c r="DM86" s="1322"/>
      <c r="DN86" s="1322"/>
      <c r="DO86" s="1322"/>
      <c r="DP86" s="1322"/>
      <c r="DQ86" s="1322"/>
      <c r="DR86" s="1322"/>
      <c r="DS86" s="1322"/>
      <c r="DT86" s="1322"/>
      <c r="DU86" s="1322"/>
      <c r="DV86" s="1322"/>
      <c r="DW86" s="1322"/>
      <c r="DX86" s="1322"/>
      <c r="DY86" s="1322"/>
      <c r="DZ86" s="1322"/>
      <c r="EA86" s="1322"/>
      <c r="EB86" s="1322"/>
      <c r="EC86" s="1322"/>
      <c r="ED86" s="1322"/>
      <c r="EE86" s="1322"/>
      <c r="EF86" s="1322"/>
      <c r="EG86" s="1322"/>
      <c r="EH86" s="1322"/>
      <c r="EI86" s="1322"/>
      <c r="EJ86" s="1322"/>
      <c r="EK86" s="1322"/>
      <c r="EL86" s="1322"/>
      <c r="EM86" s="1322"/>
      <c r="EN86" s="1322"/>
      <c r="EO86" s="1322"/>
      <c r="EP86" s="1322"/>
      <c r="EQ86" s="1322"/>
      <c r="ER86" s="1322"/>
      <c r="ES86" s="1322"/>
      <c r="ET86" s="1322"/>
      <c r="EU86" s="1322"/>
      <c r="EV86" s="1322"/>
      <c r="EW86" s="1322"/>
      <c r="EX86" s="1322"/>
      <c r="EY86" s="1322"/>
      <c r="EZ86" s="1322"/>
      <c r="FA86" s="1322"/>
      <c r="FB86" s="1322"/>
      <c r="FC86" s="1322"/>
      <c r="FD86" s="1322"/>
      <c r="FE86" s="1322"/>
      <c r="FF86" s="1322"/>
      <c r="FG86" s="1322"/>
      <c r="FH86" s="1322"/>
      <c r="FI86" s="1322"/>
      <c r="FJ86" s="1322"/>
      <c r="FK86" s="1322"/>
      <c r="FL86" s="1322"/>
      <c r="FM86" s="1322"/>
      <c r="FN86" s="1322"/>
      <c r="FO86" s="1322"/>
      <c r="FP86" s="1322"/>
      <c r="FQ86" s="1322"/>
      <c r="FR86" s="1322"/>
      <c r="FS86" s="1322"/>
      <c r="FT86" s="1322"/>
      <c r="FU86" s="1322"/>
      <c r="FV86" s="1322"/>
      <c r="FW86" s="1322"/>
      <c r="FX86" s="1322"/>
      <c r="FY86" s="1322"/>
      <c r="FZ86" s="1322"/>
      <c r="GA86" s="1322"/>
      <c r="GB86" s="1322"/>
      <c r="GC86" s="1322"/>
      <c r="GD86" s="1322"/>
      <c r="GE86" s="1322"/>
      <c r="GF86" s="1322"/>
      <c r="GG86" s="1322"/>
      <c r="GH86" s="1322"/>
      <c r="GI86" s="1322"/>
      <c r="GJ86" s="1322"/>
      <c r="GK86" s="1322"/>
      <c r="GL86" s="1322"/>
      <c r="GM86" s="1322"/>
      <c r="GN86" s="1322"/>
      <c r="GO86" s="1322"/>
      <c r="GP86" s="1322"/>
      <c r="GQ86" s="1322"/>
      <c r="GR86" s="1322"/>
      <c r="GS86" s="1322"/>
      <c r="GT86" s="1322"/>
      <c r="GU86" s="1322"/>
      <c r="GV86" s="1322"/>
      <c r="GW86" s="1322"/>
      <c r="GX86" s="1322"/>
      <c r="GY86" s="1322"/>
      <c r="GZ86" s="1322"/>
      <c r="HA86" s="1322"/>
      <c r="HB86" s="1322"/>
      <c r="HC86" s="1322"/>
      <c r="HD86" s="1322"/>
      <c r="HE86" s="1322"/>
      <c r="HF86" s="1322"/>
      <c r="HG86" s="1322"/>
      <c r="HH86" s="1322"/>
      <c r="HI86" s="1322"/>
      <c r="HJ86" s="1322"/>
      <c r="HK86" s="1322"/>
      <c r="HL86" s="1322"/>
      <c r="HM86" s="1322"/>
      <c r="HN86" s="1322"/>
      <c r="HO86" s="1322"/>
      <c r="HP86" s="1322"/>
      <c r="HQ86" s="1322"/>
      <c r="HR86" s="1322"/>
      <c r="HS86" s="1322"/>
      <c r="HT86" s="1322"/>
      <c r="HU86" s="1322"/>
      <c r="HV86" s="1322"/>
      <c r="HW86" s="1322"/>
      <c r="HX86" s="1322"/>
      <c r="HY86" s="1322"/>
      <c r="HZ86" s="1322"/>
      <c r="IA86" s="1322"/>
      <c r="IB86" s="1322"/>
      <c r="IC86" s="1322"/>
      <c r="ID86" s="1322"/>
      <c r="IE86" s="1322"/>
      <c r="IF86" s="1322"/>
      <c r="IG86" s="1322"/>
      <c r="IH86" s="1322"/>
      <c r="II86" s="1322"/>
      <c r="IJ86" s="1322"/>
      <c r="IK86" s="1322"/>
      <c r="IL86" s="1322"/>
      <c r="IM86" s="1322"/>
      <c r="IN86" s="1322"/>
      <c r="IO86" s="1322"/>
      <c r="IP86" s="1322"/>
      <c r="IQ86" s="1322"/>
      <c r="IR86" s="1322"/>
      <c r="IS86" s="1322"/>
      <c r="IT86" s="1322"/>
      <c r="IU86" s="1322"/>
      <c r="IV86" s="1322"/>
      <c r="IW86" s="1322"/>
      <c r="IX86" s="1322"/>
      <c r="IY86" s="1322"/>
      <c r="IZ86" s="1322"/>
      <c r="JA86" s="1322"/>
      <c r="JB86" s="1322"/>
      <c r="JC86" s="1322"/>
      <c r="JD86" s="1322"/>
      <c r="JE86" s="1322"/>
      <c r="JF86" s="1322"/>
      <c r="JG86" s="1322"/>
      <c r="JH86" s="1322"/>
      <c r="JI86" s="1322"/>
      <c r="JJ86" s="1322"/>
      <c r="JK86" s="1322"/>
      <c r="JL86" s="1322"/>
      <c r="JM86" s="1322"/>
      <c r="JN86" s="1322"/>
      <c r="JO86" s="1322"/>
      <c r="JP86" s="1322"/>
      <c r="JQ86" s="1322"/>
      <c r="JR86" s="1322"/>
      <c r="JS86" s="1322"/>
      <c r="JT86" s="1322"/>
      <c r="JU86" s="1322"/>
      <c r="JV86" s="1322"/>
      <c r="JW86" s="1322"/>
      <c r="JX86" s="1322"/>
      <c r="JY86" s="1322"/>
      <c r="JZ86" s="1322"/>
      <c r="KA86" s="1322"/>
      <c r="KB86" s="1322"/>
      <c r="KC86" s="1322"/>
      <c r="KD86" s="1322"/>
      <c r="KE86" s="1322"/>
      <c r="KF86" s="1322"/>
      <c r="KG86" s="1322"/>
      <c r="KH86" s="1322"/>
      <c r="KI86" s="1322"/>
      <c r="KJ86" s="1322"/>
      <c r="KK86" s="1322"/>
      <c r="KL86" s="1322"/>
      <c r="KM86" s="1322"/>
      <c r="KN86" s="1322"/>
      <c r="KO86" s="1322"/>
      <c r="KP86" s="1322"/>
      <c r="KQ86" s="1322"/>
      <c r="KR86" s="1322"/>
      <c r="KS86" s="1322"/>
      <c r="KT86" s="1322"/>
      <c r="KU86" s="1322"/>
      <c r="KV86" s="1322"/>
    </row>
    <row r="87" spans="1:308" s="9" customFormat="1" ht="12.75" thickTop="1" x14ac:dyDescent="0.2">
      <c r="A87" s="57" t="s">
        <v>14</v>
      </c>
      <c r="B87" s="222"/>
      <c r="C87" s="223"/>
      <c r="D87" s="224"/>
      <c r="E87" s="224"/>
      <c r="F87" s="224"/>
      <c r="G87" s="224"/>
      <c r="H87" s="224"/>
      <c r="I87" s="224"/>
      <c r="J87" s="224"/>
      <c r="K87" s="224"/>
      <c r="L87" s="224"/>
      <c r="M87" s="224"/>
      <c r="N87" s="224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  <c r="AJ87" s="224"/>
      <c r="AK87" s="224"/>
      <c r="AL87" s="224"/>
      <c r="AM87" s="224"/>
      <c r="AN87" s="224"/>
      <c r="AO87" s="224"/>
      <c r="AP87" s="224"/>
      <c r="AQ87" s="224"/>
      <c r="AR87" s="224"/>
      <c r="AS87" s="224"/>
      <c r="AT87" s="224"/>
      <c r="AU87" s="224"/>
      <c r="AV87" s="224"/>
      <c r="AW87" s="224"/>
      <c r="AX87" s="224"/>
      <c r="AY87" s="224"/>
      <c r="AZ87" s="224"/>
      <c r="BA87" s="224"/>
      <c r="BB87" s="224"/>
      <c r="BC87" s="224"/>
      <c r="BD87" s="224"/>
      <c r="BE87" s="224"/>
      <c r="BF87" s="224"/>
      <c r="BG87" s="224"/>
      <c r="BH87" s="224"/>
      <c r="BI87" s="224"/>
      <c r="BJ87" s="224"/>
      <c r="BK87" s="224"/>
      <c r="BL87" s="224"/>
      <c r="BM87" s="224"/>
      <c r="BN87" s="224"/>
      <c r="BO87" s="224"/>
      <c r="BP87" s="224"/>
      <c r="BQ87" s="224"/>
      <c r="BR87" s="224"/>
      <c r="BS87" s="224"/>
      <c r="BT87" s="224"/>
      <c r="BU87" s="224"/>
      <c r="BV87" s="224"/>
      <c r="BW87" s="224"/>
      <c r="BX87" s="224"/>
      <c r="BY87" s="224"/>
    </row>
    <row r="88" spans="1:308" s="5" customFormat="1" ht="12.75" thickBot="1" x14ac:dyDescent="0.25">
      <c r="A88" s="997" t="str">
        <f>'Исходные данные'!E14</f>
        <v>Подполковник</v>
      </c>
      <c r="B88" s="225"/>
      <c r="C88" s="226"/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7"/>
      <c r="AC88" s="227"/>
      <c r="AD88" s="227"/>
      <c r="AE88" s="227"/>
      <c r="AF88" s="227"/>
      <c r="AG88" s="227"/>
      <c r="AH88" s="227"/>
      <c r="AI88" s="227"/>
      <c r="AJ88" s="227"/>
      <c r="AK88" s="227"/>
      <c r="AL88" s="227"/>
      <c r="AM88" s="227"/>
      <c r="AN88" s="227"/>
      <c r="AO88" s="227"/>
      <c r="AP88" s="227"/>
      <c r="AQ88" s="227"/>
      <c r="AR88" s="227"/>
      <c r="AS88" s="227"/>
      <c r="AT88" s="227"/>
      <c r="AU88" s="227"/>
      <c r="AV88" s="227"/>
      <c r="AW88" s="227"/>
      <c r="AX88" s="227"/>
      <c r="AY88" s="227"/>
      <c r="AZ88" s="227"/>
      <c r="BA88" s="227"/>
      <c r="BB88" s="227"/>
      <c r="BC88" s="227"/>
      <c r="BD88" s="227"/>
      <c r="BE88" s="227"/>
      <c r="BF88" s="227"/>
      <c r="BG88" s="227"/>
      <c r="BH88" s="227"/>
      <c r="BI88" s="227"/>
      <c r="BJ88" s="227"/>
      <c r="BK88" s="227"/>
      <c r="BL88" s="227"/>
      <c r="BM88" s="227"/>
      <c r="BN88" s="227"/>
      <c r="BO88" s="227"/>
      <c r="BP88" s="227"/>
      <c r="BQ88" s="227"/>
      <c r="BR88" s="227"/>
      <c r="BS88" s="227"/>
      <c r="BT88" s="227"/>
      <c r="BU88" s="227"/>
      <c r="BV88" s="227"/>
      <c r="BW88" s="227"/>
      <c r="BX88" s="227"/>
      <c r="BY88" s="227"/>
    </row>
    <row r="89" spans="1:308" s="5" customFormat="1" ht="12" x14ac:dyDescent="0.2">
      <c r="A89" s="58" t="s">
        <v>13</v>
      </c>
      <c r="B89" s="228"/>
      <c r="C89" s="229"/>
      <c r="D89" s="227"/>
      <c r="E89" s="227"/>
      <c r="F89" s="227"/>
      <c r="G89" s="227"/>
      <c r="H89" s="227"/>
      <c r="I89" s="227"/>
      <c r="J89" s="227"/>
      <c r="K89" s="227"/>
      <c r="L89" s="227"/>
      <c r="M89" s="227"/>
      <c r="N89" s="227"/>
      <c r="O89" s="227"/>
      <c r="P89" s="227"/>
      <c r="Q89" s="227"/>
      <c r="R89" s="227"/>
      <c r="S89" s="227"/>
      <c r="T89" s="227"/>
      <c r="U89" s="227"/>
      <c r="V89" s="227"/>
      <c r="W89" s="227"/>
      <c r="X89" s="227"/>
      <c r="Y89" s="227"/>
      <c r="Z89" s="227"/>
      <c r="AA89" s="227"/>
      <c r="AB89" s="227"/>
      <c r="AC89" s="227"/>
      <c r="AD89" s="227"/>
      <c r="AE89" s="227"/>
      <c r="AF89" s="227"/>
      <c r="AG89" s="227"/>
      <c r="AH89" s="227"/>
      <c r="AI89" s="227"/>
      <c r="AJ89" s="227"/>
      <c r="AK89" s="227"/>
      <c r="AL89" s="227"/>
      <c r="AM89" s="227"/>
      <c r="AN89" s="227"/>
      <c r="AO89" s="227"/>
      <c r="AP89" s="227"/>
      <c r="AQ89" s="227"/>
      <c r="AR89" s="227"/>
      <c r="AS89" s="227"/>
      <c r="AT89" s="227"/>
      <c r="AU89" s="227"/>
      <c r="AV89" s="227"/>
      <c r="AW89" s="227"/>
      <c r="AX89" s="227"/>
      <c r="AY89" s="227"/>
      <c r="AZ89" s="227"/>
      <c r="BA89" s="227"/>
      <c r="BB89" s="227"/>
      <c r="BC89" s="227"/>
      <c r="BD89" s="227"/>
      <c r="BE89" s="227"/>
      <c r="BF89" s="227"/>
      <c r="BG89" s="227"/>
      <c r="BH89" s="227"/>
      <c r="BI89" s="227"/>
      <c r="BJ89" s="227"/>
      <c r="BK89" s="227"/>
      <c r="BL89" s="227"/>
      <c r="BM89" s="227"/>
      <c r="BN89" s="227"/>
      <c r="BO89" s="227"/>
      <c r="BP89" s="227"/>
      <c r="BQ89" s="227"/>
      <c r="BR89" s="227"/>
      <c r="BS89" s="227"/>
      <c r="BT89" s="227"/>
      <c r="BU89" s="227"/>
      <c r="BV89" s="227"/>
      <c r="BW89" s="227"/>
      <c r="BX89" s="227"/>
      <c r="BY89" s="227"/>
    </row>
    <row r="90" spans="1:308" s="5" customFormat="1" ht="12.75" thickBot="1" x14ac:dyDescent="0.25">
      <c r="A90" s="998">
        <f>'Исходные данные'!J14</f>
        <v>22</v>
      </c>
      <c r="B90" s="225"/>
      <c r="C90" s="226"/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  <c r="AB90" s="227"/>
      <c r="AC90" s="227"/>
      <c r="AD90" s="227"/>
      <c r="AE90" s="227"/>
      <c r="AF90" s="227"/>
      <c r="AG90" s="227"/>
      <c r="AH90" s="227"/>
      <c r="AI90" s="227"/>
      <c r="AJ90" s="227"/>
      <c r="AK90" s="227"/>
      <c r="AL90" s="227"/>
      <c r="AM90" s="227"/>
      <c r="AN90" s="227"/>
      <c r="AO90" s="227"/>
      <c r="AP90" s="227"/>
      <c r="AQ90" s="227"/>
      <c r="AR90" s="227"/>
      <c r="AS90" s="227"/>
      <c r="AT90" s="227"/>
      <c r="AU90" s="227"/>
      <c r="AV90" s="227"/>
      <c r="AW90" s="227"/>
      <c r="AX90" s="227"/>
      <c r="AY90" s="227"/>
      <c r="AZ90" s="227"/>
      <c r="BA90" s="227"/>
      <c r="BB90" s="227"/>
      <c r="BC90" s="227"/>
      <c r="BD90" s="227"/>
      <c r="BE90" s="227"/>
      <c r="BF90" s="227"/>
      <c r="BG90" s="227"/>
      <c r="BH90" s="227"/>
      <c r="BI90" s="227"/>
      <c r="BJ90" s="227"/>
      <c r="BK90" s="227"/>
      <c r="BL90" s="227"/>
      <c r="BM90" s="227"/>
      <c r="BN90" s="227"/>
      <c r="BO90" s="227"/>
      <c r="BP90" s="227"/>
      <c r="BQ90" s="227"/>
      <c r="BR90" s="227"/>
      <c r="BS90" s="227"/>
      <c r="BT90" s="227"/>
      <c r="BU90" s="227"/>
      <c r="BV90" s="227"/>
      <c r="BW90" s="227"/>
      <c r="BX90" s="227"/>
      <c r="BY90" s="227"/>
    </row>
    <row r="91" spans="1:308" s="5" customFormat="1" ht="12" x14ac:dyDescent="0.2">
      <c r="A91" s="58" t="s">
        <v>74</v>
      </c>
      <c r="B91" s="228"/>
      <c r="C91" s="226"/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  <c r="AG91" s="227"/>
      <c r="AH91" s="227"/>
      <c r="AI91" s="227"/>
      <c r="AJ91" s="227"/>
      <c r="AK91" s="227"/>
      <c r="AL91" s="227"/>
      <c r="AM91" s="227"/>
      <c r="AN91" s="227"/>
      <c r="AO91" s="227"/>
      <c r="AP91" s="227"/>
      <c r="AQ91" s="227"/>
      <c r="AR91" s="227"/>
      <c r="AS91" s="227"/>
      <c r="AT91" s="227"/>
      <c r="AU91" s="227"/>
      <c r="AV91" s="227"/>
      <c r="AW91" s="227"/>
      <c r="AX91" s="227"/>
      <c r="AY91" s="227"/>
      <c r="AZ91" s="227"/>
      <c r="BA91" s="227"/>
      <c r="BB91" s="227"/>
      <c r="BC91" s="227"/>
      <c r="BD91" s="227"/>
      <c r="BE91" s="227"/>
      <c r="BF91" s="227"/>
      <c r="BG91" s="227"/>
      <c r="BH91" s="227"/>
      <c r="BI91" s="227"/>
      <c r="BJ91" s="227"/>
      <c r="BK91" s="227"/>
      <c r="BL91" s="227"/>
      <c r="BM91" s="227"/>
      <c r="BN91" s="227"/>
      <c r="BO91" s="227"/>
      <c r="BP91" s="227"/>
      <c r="BQ91" s="227"/>
      <c r="BR91" s="227"/>
      <c r="BS91" s="227"/>
      <c r="BT91" s="227"/>
      <c r="BU91" s="227"/>
      <c r="BV91" s="227"/>
      <c r="BW91" s="227"/>
      <c r="BX91" s="227"/>
      <c r="BY91" s="227"/>
    </row>
    <row r="92" spans="1:308" s="5" customFormat="1" ht="12.75" thickBot="1" x14ac:dyDescent="0.25">
      <c r="A92" s="996">
        <f ca="1">Параметры!B13</f>
        <v>5</v>
      </c>
      <c r="B92" s="225"/>
      <c r="C92" s="226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27"/>
      <c r="AH92" s="227"/>
      <c r="AI92" s="227"/>
      <c r="AJ92" s="227"/>
      <c r="AK92" s="227"/>
      <c r="AL92" s="227"/>
      <c r="AM92" s="227"/>
      <c r="AN92" s="227"/>
      <c r="AO92" s="227"/>
      <c r="AP92" s="227"/>
      <c r="AQ92" s="227"/>
      <c r="AR92" s="227"/>
      <c r="AS92" s="227"/>
      <c r="AT92" s="227"/>
      <c r="AU92" s="227"/>
      <c r="AV92" s="227"/>
      <c r="AW92" s="227"/>
      <c r="AX92" s="227"/>
      <c r="AY92" s="227"/>
      <c r="AZ92" s="227"/>
      <c r="BA92" s="227"/>
      <c r="BB92" s="227"/>
      <c r="BC92" s="227"/>
      <c r="BD92" s="227"/>
      <c r="BE92" s="227"/>
      <c r="BF92" s="227"/>
      <c r="BG92" s="227"/>
      <c r="BH92" s="227"/>
      <c r="BI92" s="227"/>
      <c r="BJ92" s="227"/>
      <c r="BK92" s="227"/>
      <c r="BL92" s="227"/>
      <c r="BM92" s="227"/>
      <c r="BN92" s="227"/>
      <c r="BO92" s="227"/>
      <c r="BP92" s="227"/>
      <c r="BQ92" s="227"/>
      <c r="BR92" s="227"/>
      <c r="BS92" s="227"/>
      <c r="BT92" s="227"/>
      <c r="BU92" s="227"/>
      <c r="BV92" s="227"/>
      <c r="BW92" s="227"/>
      <c r="BX92" s="227"/>
      <c r="BY92" s="227"/>
    </row>
    <row r="93" spans="1:308" s="8" customFormat="1" ht="15.75" thickTop="1" x14ac:dyDescent="0.25">
      <c r="A93" s="220"/>
      <c r="B93" s="220"/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21"/>
      <c r="Z93" s="221"/>
      <c r="AA93" s="221"/>
      <c r="AB93" s="221"/>
      <c r="AC93" s="221"/>
      <c r="AD93" s="221"/>
      <c r="AE93" s="221"/>
      <c r="AF93" s="221"/>
      <c r="AG93" s="221"/>
      <c r="AH93" s="221"/>
      <c r="AI93" s="221"/>
      <c r="AJ93" s="221"/>
      <c r="AK93" s="221"/>
      <c r="AL93" s="221"/>
      <c r="AM93" s="221"/>
      <c r="AN93" s="221"/>
      <c r="AO93" s="221"/>
      <c r="AP93" s="221"/>
      <c r="AQ93" s="221"/>
      <c r="AR93" s="221"/>
      <c r="AS93" s="221"/>
      <c r="AT93" s="221"/>
      <c r="AU93" s="221"/>
      <c r="AV93" s="221"/>
      <c r="AW93" s="221"/>
      <c r="AX93" s="221"/>
      <c r="AY93" s="221"/>
      <c r="AZ93" s="221"/>
      <c r="BA93" s="221"/>
      <c r="BB93" s="221"/>
      <c r="BC93" s="221"/>
      <c r="BD93" s="221"/>
      <c r="BE93" s="221"/>
      <c r="BF93" s="221"/>
      <c r="BG93" s="221"/>
      <c r="BH93" s="221"/>
      <c r="BI93" s="221"/>
      <c r="BJ93" s="221"/>
      <c r="BK93" s="221"/>
      <c r="BL93" s="221"/>
      <c r="BM93" s="221"/>
      <c r="BN93" s="221"/>
      <c r="BO93" s="221"/>
      <c r="BP93" s="221"/>
      <c r="BQ93" s="221"/>
      <c r="BR93" s="221"/>
      <c r="BS93" s="221"/>
      <c r="BT93" s="221"/>
      <c r="BU93" s="221"/>
      <c r="BV93" s="221"/>
      <c r="BW93" s="221"/>
      <c r="BX93" s="221"/>
      <c r="BY93" s="221"/>
    </row>
    <row r="94" spans="1:308" x14ac:dyDescent="0.25">
      <c r="A94" s="436">
        <f>VLOOKUP(Параметры!B4,__Периоды,8,0)</f>
        <v>8</v>
      </c>
      <c r="B94" s="218"/>
      <c r="C94" s="219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19"/>
      <c r="S94" s="219"/>
      <c r="T94" s="219"/>
      <c r="U94" s="219"/>
      <c r="V94" s="219"/>
      <c r="W94" s="219"/>
      <c r="X94" s="219"/>
      <c r="Y94" s="219"/>
      <c r="Z94" s="219"/>
      <c r="AA94" s="219"/>
      <c r="AB94" s="219"/>
      <c r="AC94" s="219"/>
      <c r="AD94" s="219"/>
      <c r="AE94" s="219"/>
      <c r="AF94" s="219"/>
      <c r="AG94" s="219"/>
      <c r="AH94" s="219"/>
      <c r="AI94" s="219"/>
      <c r="AJ94" s="219"/>
      <c r="AK94" s="219"/>
      <c r="AL94" s="219"/>
      <c r="AM94" s="219"/>
      <c r="AN94" s="219"/>
      <c r="AO94" s="219"/>
      <c r="AP94" s="219"/>
      <c r="AQ94" s="219"/>
      <c r="AR94" s="219"/>
      <c r="AS94" s="219"/>
      <c r="AT94" s="219"/>
      <c r="AU94" s="219"/>
      <c r="AV94" s="219"/>
      <c r="AW94" s="219"/>
      <c r="AX94" s="219"/>
      <c r="AY94" s="219"/>
      <c r="AZ94" s="219"/>
      <c r="BA94" s="219"/>
      <c r="BB94" s="219"/>
      <c r="BC94" s="219"/>
      <c r="BD94" s="219"/>
      <c r="BE94" s="219"/>
      <c r="BF94" s="219"/>
      <c r="BG94" s="219"/>
      <c r="BH94" s="219"/>
      <c r="BI94" s="219"/>
      <c r="BJ94" s="219"/>
      <c r="BK94" s="219"/>
      <c r="BL94" s="219"/>
      <c r="BM94" s="219"/>
      <c r="BN94" s="219"/>
      <c r="BO94" s="219"/>
      <c r="BP94" s="219"/>
      <c r="BQ94" s="219"/>
      <c r="BR94" s="219"/>
      <c r="BS94" s="219"/>
      <c r="BT94" s="219"/>
      <c r="BU94" s="219"/>
      <c r="BV94" s="219"/>
      <c r="BW94" s="219"/>
      <c r="BX94" s="219"/>
      <c r="BY94" s="219"/>
    </row>
    <row r="95" spans="1:308" x14ac:dyDescent="0.25">
      <c r="A95" s="218"/>
      <c r="B95" s="218"/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  <c r="AG95" s="219"/>
      <c r="AH95" s="219"/>
      <c r="AI95" s="219"/>
      <c r="AJ95" s="219"/>
      <c r="AK95" s="219"/>
      <c r="AL95" s="219"/>
      <c r="AM95" s="219"/>
      <c r="AN95" s="219"/>
      <c r="AO95" s="219"/>
      <c r="AP95" s="219"/>
      <c r="AQ95" s="219"/>
      <c r="AR95" s="219"/>
      <c r="AS95" s="219"/>
      <c r="AT95" s="219"/>
      <c r="AU95" s="219"/>
      <c r="AV95" s="219"/>
      <c r="AW95" s="219"/>
      <c r="AX95" s="219"/>
      <c r="AY95" s="219"/>
      <c r="AZ95" s="219"/>
      <c r="BA95" s="219"/>
      <c r="BB95" s="219"/>
      <c r="BC95" s="219"/>
      <c r="BD95" s="219"/>
      <c r="BE95" s="219"/>
      <c r="BF95" s="219"/>
      <c r="BG95" s="219"/>
      <c r="BH95" s="219"/>
      <c r="BI95" s="219"/>
      <c r="BJ95" s="219"/>
      <c r="BK95" s="219"/>
      <c r="BL95" s="219"/>
      <c r="BM95" s="219"/>
      <c r="BN95" s="219"/>
      <c r="BO95" s="219"/>
      <c r="BP95" s="219"/>
      <c r="BQ95" s="219"/>
      <c r="BR95" s="219"/>
      <c r="BS95" s="219"/>
      <c r="BT95" s="219"/>
      <c r="BU95" s="219"/>
      <c r="BV95" s="219"/>
      <c r="BW95" s="219"/>
      <c r="BX95" s="219"/>
      <c r="BY95" s="219"/>
    </row>
  </sheetData>
  <sheetProtection algorithmName="SHA-512" hashValue="FwccrxFDzUPpQ+uTU7jsB7LCxKd4aV8c/vfkrTOfu3eezEA5RvUodabmyYW/gcBsgX//CdYBa7BqA9rCgjwzng==" saltValue="WPSXcbbotYfoyx0OKr2Dzg==" spinCount="100000" sheet="1" objects="1" scenarios="1" selectLockedCells="1"/>
  <conditionalFormatting sqref="C7:BY86">
    <cfRule type="expression" dxfId="8" priority="14">
      <formula>C$9 =$A$92</formula>
    </cfRule>
  </conditionalFormatting>
  <conditionalFormatting sqref="A12:XFD61">
    <cfRule type="expression" dxfId="7" priority="2">
      <formula>($A12=$A$90)</formula>
    </cfRule>
  </conditionalFormatting>
  <conditionalFormatting sqref="A67:XFD86">
    <cfRule type="expression" dxfId="6" priority="3">
      <formula xml:space="preserve"> ($A67 = $A$88)</formula>
    </cfRule>
  </conditionalFormatting>
  <conditionalFormatting sqref="B7:BY86">
    <cfRule type="expression" dxfId="5" priority="1">
      <formula xml:space="preserve"> (B$9 &gt; $A$94)</formula>
    </cfRule>
  </conditionalFormatting>
  <pageMargins left="0.7" right="0.7" top="0.75" bottom="0.75" header="0.3" footer="0.3"/>
  <pageSetup paperSize="9" orientation="portrait" r:id="rId1"/>
  <ignoredErrors>
    <ignoredError sqref="D66 D11" formula="1"/>
  </ignoredErrors>
  <drawing r:id="rId2"/>
  <legacyDrawing r:id="rId3"/>
  <controls>
    <mc:AlternateContent xmlns:mc="http://schemas.openxmlformats.org/markup-compatibility/2006">
      <mc:Choice Requires="x14">
        <control shapeId="89089" r:id="rId4" name="CommandButton1">
          <controlPr defaultSize="0" autoFill="0" autoLine="0" r:id="rId5">
            <anchor moveWithCells="1">
              <from>
                <xdr:col>6</xdr:col>
                <xdr:colOff>571500</xdr:colOff>
                <xdr:row>4</xdr:row>
                <xdr:rowOff>9525</xdr:rowOff>
              </from>
              <to>
                <xdr:col>8</xdr:col>
                <xdr:colOff>104775</xdr:colOff>
                <xdr:row>5</xdr:row>
                <xdr:rowOff>95250</xdr:rowOff>
              </to>
            </anchor>
          </controlPr>
        </control>
      </mc:Choice>
      <mc:Fallback>
        <control shapeId="89089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Лист60"/>
  <dimension ref="B1:X61"/>
  <sheetViews>
    <sheetView showGridLines="0" showRowColHeaders="0" workbookViewId="0"/>
  </sheetViews>
  <sheetFormatPr defaultRowHeight="15.75" x14ac:dyDescent="0.25"/>
  <cols>
    <col min="1" max="1" width="1.85546875" customWidth="1"/>
    <col min="2" max="2" width="1.85546875" style="10" customWidth="1"/>
    <col min="3" max="3" width="1.140625" style="10" customWidth="1"/>
    <col min="4" max="4" width="14.7109375" style="10" customWidth="1"/>
    <col min="5" max="5" width="4.7109375" style="10" customWidth="1"/>
    <col min="6" max="6" width="9.140625" style="10"/>
    <col min="7" max="7" width="7.5703125" style="10" customWidth="1"/>
    <col min="8" max="8" width="5" style="10" customWidth="1"/>
    <col min="9" max="10" width="9.140625" style="10"/>
    <col min="11" max="11" width="7.42578125" style="10" customWidth="1"/>
    <col min="12" max="12" width="13.85546875" style="10" customWidth="1"/>
    <col min="13" max="14" width="9.140625" style="10"/>
    <col min="15" max="15" width="9.85546875" style="10" customWidth="1"/>
    <col min="16" max="16" width="11.28515625" style="10" bestFit="1" customWidth="1"/>
    <col min="17" max="17" width="9.140625" style="10"/>
    <col min="18" max="18" width="9.85546875" style="10" customWidth="1"/>
    <col min="19" max="19" width="7.42578125" style="10" customWidth="1"/>
    <col min="20" max="20" width="12.42578125" customWidth="1"/>
    <col min="21" max="21" width="14" bestFit="1" customWidth="1"/>
    <col min="22" max="22" width="4.28515625" customWidth="1"/>
    <col min="23" max="23" width="3.7109375" customWidth="1"/>
    <col min="24" max="24" width="1.28515625" customWidth="1"/>
  </cols>
  <sheetData>
    <row r="1" spans="2:24" ht="7.5" customHeight="1" thickBot="1" x14ac:dyDescent="0.3"/>
    <row r="2" spans="2:24" ht="16.5" thickTop="1" x14ac:dyDescent="0.25"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173"/>
      <c r="U2" s="173"/>
      <c r="V2" s="173"/>
      <c r="W2" s="174"/>
    </row>
    <row r="3" spans="2:24" ht="23.25" x14ac:dyDescent="0.35">
      <c r="B3" s="27"/>
      <c r="C3" s="28"/>
      <c r="D3" s="29"/>
      <c r="E3" s="29"/>
      <c r="F3" s="1408" t="s">
        <v>212</v>
      </c>
      <c r="G3" s="1408"/>
      <c r="H3" s="1408"/>
      <c r="I3" s="1408"/>
      <c r="J3" s="1408"/>
      <c r="K3" s="1408"/>
      <c r="L3" s="1408"/>
      <c r="M3" s="1408"/>
      <c r="N3" s="1408"/>
      <c r="O3" s="1408"/>
      <c r="P3" s="28"/>
      <c r="Q3" s="28"/>
      <c r="R3" s="28"/>
      <c r="S3" s="28"/>
      <c r="T3" s="170"/>
      <c r="U3" s="170"/>
      <c r="V3" s="170"/>
      <c r="W3" s="175"/>
      <c r="X3" s="771"/>
    </row>
    <row r="4" spans="2:24" ht="23.25" x14ac:dyDescent="0.35">
      <c r="B4" s="27"/>
      <c r="C4" s="28"/>
      <c r="D4" s="29"/>
      <c r="E4" s="29"/>
      <c r="F4" s="1408" t="s">
        <v>114</v>
      </c>
      <c r="G4" s="1408"/>
      <c r="H4" s="1408"/>
      <c r="I4" s="1408"/>
      <c r="J4" s="1408"/>
      <c r="K4" s="1408"/>
      <c r="L4" s="1408"/>
      <c r="M4" s="1408"/>
      <c r="N4" s="1408"/>
      <c r="O4" s="1408"/>
      <c r="P4" s="28"/>
      <c r="Q4" s="28"/>
      <c r="R4" s="28"/>
      <c r="S4" s="28"/>
      <c r="T4" s="170"/>
      <c r="U4" s="170"/>
      <c r="V4" s="170"/>
      <c r="W4" s="175"/>
      <c r="X4" s="771"/>
    </row>
    <row r="5" spans="2:24" ht="23.25" x14ac:dyDescent="0.35">
      <c r="B5" s="27"/>
      <c r="C5" s="28"/>
      <c r="D5" s="29"/>
      <c r="E5" s="29"/>
      <c r="F5" s="1408" t="s">
        <v>49</v>
      </c>
      <c r="G5" s="1408"/>
      <c r="H5" s="1408"/>
      <c r="I5" s="1408"/>
      <c r="J5" s="1408"/>
      <c r="K5" s="1408"/>
      <c r="L5" s="1408"/>
      <c r="M5" s="1408"/>
      <c r="N5" s="1408"/>
      <c r="O5" s="1408"/>
      <c r="P5" s="28"/>
      <c r="Q5" s="28"/>
      <c r="R5" s="28"/>
      <c r="S5" s="28"/>
      <c r="T5" s="170"/>
      <c r="U5" s="731"/>
      <c r="V5" s="170"/>
      <c r="W5" s="175"/>
      <c r="X5" s="771"/>
    </row>
    <row r="6" spans="2:24" s="8" customFormat="1" x14ac:dyDescent="0.25">
      <c r="B6" s="27"/>
      <c r="C6" s="30"/>
      <c r="D6" s="30"/>
      <c r="E6" s="30"/>
      <c r="F6" s="30"/>
      <c r="G6" s="30"/>
      <c r="H6" s="30"/>
      <c r="I6" s="30"/>
      <c r="J6" s="30"/>
      <c r="K6" s="28"/>
      <c r="L6" s="28"/>
      <c r="M6" s="28"/>
      <c r="N6" s="28"/>
      <c r="O6" s="28"/>
      <c r="P6" s="28"/>
      <c r="Q6" s="28"/>
      <c r="R6" s="28"/>
      <c r="S6" s="28"/>
      <c r="T6" s="170"/>
      <c r="U6" s="170"/>
      <c r="V6" s="170"/>
      <c r="W6" s="175"/>
      <c r="X6" s="772"/>
    </row>
    <row r="7" spans="2:24" x14ac:dyDescent="0.25">
      <c r="B7" s="27"/>
      <c r="C7" s="31" t="s">
        <v>43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170"/>
      <c r="U7" s="170"/>
      <c r="V7" s="170"/>
      <c r="W7" s="175"/>
      <c r="X7" s="771"/>
    </row>
    <row r="8" spans="2:24" x14ac:dyDescent="0.25">
      <c r="B8" s="27"/>
      <c r="C8" s="28"/>
      <c r="D8" s="28" t="s">
        <v>76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170"/>
      <c r="U8" s="170"/>
      <c r="V8" s="170"/>
      <c r="W8" s="175"/>
      <c r="X8" s="771"/>
    </row>
    <row r="9" spans="2:24" x14ac:dyDescent="0.25">
      <c r="B9" s="27"/>
      <c r="C9" s="28"/>
      <c r="D9" s="28" t="s">
        <v>248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170"/>
      <c r="U9" s="170"/>
      <c r="V9" s="170"/>
      <c r="W9" s="175"/>
      <c r="X9" s="771"/>
    </row>
    <row r="10" spans="2:24" s="61" customFormat="1" x14ac:dyDescent="0.25">
      <c r="B10" s="27"/>
      <c r="C10" s="28"/>
      <c r="D10" s="28" t="s">
        <v>249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170"/>
      <c r="U10" s="170"/>
      <c r="V10" s="170"/>
      <c r="W10" s="175"/>
      <c r="X10" s="771"/>
    </row>
    <row r="11" spans="2:24" ht="6.75" customHeight="1" x14ac:dyDescent="0.25"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170"/>
      <c r="U11" s="170"/>
      <c r="V11" s="170"/>
      <c r="W11" s="175"/>
      <c r="X11" s="771"/>
    </row>
    <row r="12" spans="2:24" ht="16.5" thickBot="1" x14ac:dyDescent="0.3">
      <c r="B12" s="27"/>
      <c r="C12" s="31" t="s">
        <v>45</v>
      </c>
      <c r="D12" s="28"/>
      <c r="E12" s="28"/>
      <c r="F12" s="28"/>
      <c r="G12" s="28"/>
      <c r="H12" s="28"/>
      <c r="I12" s="32"/>
      <c r="J12" s="32"/>
      <c r="K12" s="32"/>
      <c r="L12" s="28"/>
      <c r="M12" s="32"/>
      <c r="N12" s="28"/>
      <c r="O12" s="28"/>
      <c r="P12" s="28"/>
      <c r="Q12" s="28"/>
      <c r="R12" s="28"/>
      <c r="S12" s="28"/>
      <c r="T12" s="170"/>
      <c r="U12" s="445"/>
      <c r="V12" s="170"/>
      <c r="W12" s="175"/>
      <c r="X12" s="771"/>
    </row>
    <row r="13" spans="2:24" x14ac:dyDescent="0.25">
      <c r="B13" s="27"/>
      <c r="C13" s="28"/>
      <c r="D13" s="1298" t="s">
        <v>46</v>
      </c>
      <c r="E13" s="1298"/>
      <c r="F13" s="1298"/>
      <c r="G13" s="1298"/>
      <c r="H13" s="1298"/>
      <c r="I13" s="1299"/>
      <c r="J13" s="1298"/>
      <c r="K13" s="1298"/>
      <c r="L13" s="1298"/>
      <c r="M13" s="1298"/>
      <c r="N13" s="1298"/>
      <c r="O13" s="1298"/>
      <c r="P13" s="1298"/>
      <c r="Q13" s="1298"/>
      <c r="R13" s="1298"/>
      <c r="S13" s="1300"/>
      <c r="T13" s="1399">
        <f>'Исходные данные'!J12</f>
        <v>39675</v>
      </c>
      <c r="U13" s="1400"/>
      <c r="V13" s="1401"/>
      <c r="W13" s="175"/>
      <c r="X13" s="771"/>
    </row>
    <row r="14" spans="2:24" x14ac:dyDescent="0.25">
      <c r="B14" s="27"/>
      <c r="C14" s="28"/>
      <c r="D14" s="1301" t="s">
        <v>50</v>
      </c>
      <c r="E14" s="1301"/>
      <c r="F14" s="1301"/>
      <c r="G14" s="1301"/>
      <c r="H14" s="1301"/>
      <c r="I14" s="1302"/>
      <c r="J14" s="1301"/>
      <c r="K14" s="1301"/>
      <c r="L14" s="1301"/>
      <c r="M14" s="1301"/>
      <c r="N14" s="1301"/>
      <c r="O14" s="1301"/>
      <c r="P14" s="1301"/>
      <c r="Q14" s="1301"/>
      <c r="R14" s="1301"/>
      <c r="S14" s="1303"/>
      <c r="T14" s="1402">
        <f>'Исходные данные'!J14</f>
        <v>22</v>
      </c>
      <c r="U14" s="1403"/>
      <c r="V14" s="1404"/>
      <c r="W14" s="175"/>
      <c r="X14" s="771"/>
    </row>
    <row r="15" spans="2:24" x14ac:dyDescent="0.25">
      <c r="B15" s="27"/>
      <c r="C15" s="28"/>
      <c r="D15" s="1301" t="s">
        <v>47</v>
      </c>
      <c r="E15" s="1301"/>
      <c r="F15" s="1301"/>
      <c r="G15" s="1301"/>
      <c r="H15" s="1301"/>
      <c r="I15" s="1302"/>
      <c r="J15" s="1301"/>
      <c r="K15" s="1301"/>
      <c r="L15" s="1301"/>
      <c r="M15" s="1301"/>
      <c r="N15" s="1301"/>
      <c r="O15" s="1301"/>
      <c r="P15" s="1301"/>
      <c r="Q15" s="1301"/>
      <c r="R15" s="1301"/>
      <c r="S15" s="1303"/>
      <c r="T15" s="1405" t="str">
        <f>'Исходные данные'!E14</f>
        <v>Подполковник</v>
      </c>
      <c r="U15" s="1406"/>
      <c r="V15" s="1407"/>
      <c r="W15" s="175"/>
      <c r="X15" s="771"/>
    </row>
    <row r="16" spans="2:24" x14ac:dyDescent="0.25">
      <c r="B16" s="27"/>
      <c r="C16" s="28"/>
      <c r="D16" s="1301" t="s">
        <v>48</v>
      </c>
      <c r="E16" s="1301"/>
      <c r="F16" s="1301"/>
      <c r="G16" s="1301"/>
      <c r="H16" s="1301"/>
      <c r="I16" s="1302"/>
      <c r="J16" s="1301"/>
      <c r="K16" s="1301"/>
      <c r="L16" s="1301"/>
      <c r="M16" s="1301"/>
      <c r="N16" s="1301"/>
      <c r="O16" s="1301"/>
      <c r="P16" s="1301"/>
      <c r="Q16" s="1301"/>
      <c r="R16" s="1301"/>
      <c r="S16" s="1303"/>
      <c r="T16" s="1405">
        <f>'Исходные данные'!N14</f>
        <v>30</v>
      </c>
      <c r="U16" s="1406"/>
      <c r="V16" s="1407"/>
      <c r="W16" s="175"/>
      <c r="X16" s="771"/>
    </row>
    <row r="17" spans="2:24" s="61" customFormat="1" x14ac:dyDescent="0.25">
      <c r="B17" s="27"/>
      <c r="C17" s="28"/>
      <c r="D17" s="1301" t="s">
        <v>188</v>
      </c>
      <c r="E17" s="1301"/>
      <c r="F17" s="1301"/>
      <c r="G17" s="1301"/>
      <c r="H17" s="1301"/>
      <c r="I17" s="1302"/>
      <c r="J17" s="1301"/>
      <c r="K17" s="1301"/>
      <c r="L17" s="1301"/>
      <c r="M17" s="1301"/>
      <c r="N17" s="1301"/>
      <c r="O17" s="1301"/>
      <c r="P17" s="1301"/>
      <c r="Q17" s="1301"/>
      <c r="R17" s="1301"/>
      <c r="S17" s="1303"/>
      <c r="T17" s="1409">
        <f>'Исходные данные'!$J$16</f>
        <v>1</v>
      </c>
      <c r="U17" s="1406"/>
      <c r="V17" s="1407"/>
      <c r="W17" s="175"/>
      <c r="X17" s="771"/>
    </row>
    <row r="18" spans="2:24" s="61" customFormat="1" ht="16.5" thickBot="1" x14ac:dyDescent="0.3">
      <c r="B18" s="27"/>
      <c r="C18" s="28"/>
      <c r="D18" s="1301" t="s">
        <v>44</v>
      </c>
      <c r="E18" s="1301"/>
      <c r="F18" s="1301"/>
      <c r="G18" s="1301"/>
      <c r="H18" s="1301"/>
      <c r="I18" s="1302"/>
      <c r="J18" s="1301"/>
      <c r="K18" s="1301"/>
      <c r="L18" s="1301"/>
      <c r="M18" s="1301"/>
      <c r="N18" s="1301"/>
      <c r="O18" s="1301"/>
      <c r="P18" s="1301"/>
      <c r="Q18" s="1301"/>
      <c r="R18" s="1301"/>
      <c r="S18" s="1303"/>
      <c r="T18" s="1410">
        <f>'Исходные данные'!$J$18</f>
        <v>1</v>
      </c>
      <c r="U18" s="1411"/>
      <c r="V18" s="1412"/>
      <c r="W18" s="175"/>
      <c r="X18" s="771"/>
    </row>
    <row r="19" spans="2:24" ht="5.25" customHeight="1" x14ac:dyDescent="0.2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433"/>
      <c r="U19" s="433"/>
      <c r="V19" s="433"/>
      <c r="W19" s="175"/>
      <c r="X19" s="771"/>
    </row>
    <row r="20" spans="2:24" ht="6" customHeight="1" x14ac:dyDescent="0.2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433"/>
      <c r="U20" s="433"/>
      <c r="V20" s="433"/>
      <c r="W20" s="175"/>
      <c r="X20" s="771"/>
    </row>
    <row r="21" spans="2:24" x14ac:dyDescent="0.25">
      <c r="B21" s="27"/>
      <c r="C21" s="31" t="s">
        <v>53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433"/>
      <c r="U21" s="433"/>
      <c r="V21" s="433"/>
      <c r="W21" s="175"/>
      <c r="X21" s="771"/>
    </row>
    <row r="22" spans="2:24" ht="16.5" thickBot="1" x14ac:dyDescent="0.3">
      <c r="B22" s="27"/>
      <c r="C22" s="31"/>
      <c r="D22" s="1304" t="s">
        <v>56</v>
      </c>
      <c r="E22" s="1305" t="s">
        <v>54</v>
      </c>
      <c r="F22" s="1298" t="s">
        <v>57</v>
      </c>
      <c r="G22" s="1298"/>
      <c r="H22" s="1298"/>
      <c r="I22" s="1298"/>
      <c r="J22" s="1298"/>
      <c r="K22" s="1298"/>
      <c r="L22" s="1298"/>
      <c r="M22" s="1298"/>
      <c r="N22" s="1298"/>
      <c r="O22" s="1298"/>
      <c r="P22" s="1298"/>
      <c r="Q22" s="1298"/>
      <c r="R22" s="1298"/>
      <c r="S22" s="1298"/>
      <c r="T22" s="449" t="s">
        <v>191</v>
      </c>
      <c r="U22" s="467">
        <f ca="1">TODAY()</f>
        <v>44664</v>
      </c>
      <c r="V22" s="468"/>
      <c r="W22" s="175"/>
      <c r="X22" s="771"/>
    </row>
    <row r="23" spans="2:24" x14ac:dyDescent="0.25">
      <c r="B23" s="27"/>
      <c r="C23" s="28"/>
      <c r="D23" s="1306" t="s">
        <v>185</v>
      </c>
      <c r="E23" s="1307" t="s">
        <v>54</v>
      </c>
      <c r="F23" s="1301" t="s">
        <v>213</v>
      </c>
      <c r="G23" s="1301"/>
      <c r="H23" s="1301"/>
      <c r="I23" s="1301"/>
      <c r="J23" s="1301"/>
      <c r="K23" s="1301"/>
      <c r="L23" s="1301"/>
      <c r="M23" s="1301"/>
      <c r="N23" s="1301"/>
      <c r="O23" s="1301"/>
      <c r="P23" s="1301"/>
      <c r="Q23" s="1301"/>
      <c r="R23" s="1301"/>
      <c r="S23" s="1301"/>
      <c r="T23" s="1326" t="s">
        <v>185</v>
      </c>
      <c r="U23" s="1413">
        <f ca="1" xml:space="preserve"> HLOOKUP(Параметры!B8,__ОкладыТР,MATCH('Исходные данные'!$J$14,__СписокТР,0)+5)</f>
        <v>30125</v>
      </c>
      <c r="V23" s="1414"/>
      <c r="W23" s="175"/>
      <c r="X23" s="771"/>
    </row>
    <row r="24" spans="2:24" s="61" customFormat="1" x14ac:dyDescent="0.25">
      <c r="B24" s="27"/>
      <c r="C24" s="28"/>
      <c r="D24" s="1306" t="s">
        <v>186</v>
      </c>
      <c r="E24" s="1307" t="s">
        <v>54</v>
      </c>
      <c r="F24" s="1301" t="s">
        <v>187</v>
      </c>
      <c r="G24" s="1301"/>
      <c r="H24" s="1301"/>
      <c r="I24" s="1301"/>
      <c r="J24" s="1301"/>
      <c r="K24" s="1301"/>
      <c r="L24" s="1301"/>
      <c r="M24" s="1301"/>
      <c r="N24" s="1301"/>
      <c r="O24" s="1301"/>
      <c r="P24" s="1306" t="s">
        <v>193</v>
      </c>
      <c r="Q24" s="1306"/>
      <c r="R24" s="1301"/>
      <c r="S24" s="1301"/>
      <c r="T24" s="1327" t="s">
        <v>5</v>
      </c>
      <c r="U24" s="1415">
        <f ca="1">U23*T17</f>
        <v>30125</v>
      </c>
      <c r="V24" s="1416"/>
      <c r="W24" s="175"/>
      <c r="X24" s="771"/>
    </row>
    <row r="25" spans="2:24" x14ac:dyDescent="0.25">
      <c r="B25" s="27"/>
      <c r="C25" s="28"/>
      <c r="D25" s="1306" t="s">
        <v>7</v>
      </c>
      <c r="E25" s="1307" t="s">
        <v>54</v>
      </c>
      <c r="F25" s="1301" t="s">
        <v>97</v>
      </c>
      <c r="G25" s="1301"/>
      <c r="H25" s="1301"/>
      <c r="I25" s="1301"/>
      <c r="J25" s="1301"/>
      <c r="K25" s="1301"/>
      <c r="L25" s="1301"/>
      <c r="M25" s="1301"/>
      <c r="N25" s="1301"/>
      <c r="O25" s="1301"/>
      <c r="P25" s="1301"/>
      <c r="Q25" s="1301"/>
      <c r="R25" s="1301"/>
      <c r="S25" s="1301"/>
      <c r="T25" s="1327" t="s">
        <v>7</v>
      </c>
      <c r="U25" s="1421">
        <f ca="1" xml:space="preserve"> HLOOKUP(Параметры!B8,__ОкладыВЗ,MATCH('Исходные данные'!$E$14,__СписокВЗ,0)+5)</f>
        <v>13905</v>
      </c>
      <c r="V25" s="1422"/>
      <c r="W25" s="175"/>
      <c r="X25" s="771"/>
    </row>
    <row r="26" spans="2:24" x14ac:dyDescent="0.25">
      <c r="B26" s="27"/>
      <c r="C26" s="28"/>
      <c r="D26" s="1306" t="s">
        <v>12</v>
      </c>
      <c r="E26" s="1307" t="s">
        <v>54</v>
      </c>
      <c r="F26" s="1301" t="s">
        <v>66</v>
      </c>
      <c r="G26" s="1301"/>
      <c r="H26" s="1301"/>
      <c r="I26" s="1301"/>
      <c r="J26" s="1301"/>
      <c r="K26" s="1301"/>
      <c r="L26" s="1301"/>
      <c r="M26" s="1301"/>
      <c r="N26" s="1301"/>
      <c r="O26" s="1301"/>
      <c r="P26" s="1306" t="s">
        <v>60</v>
      </c>
      <c r="Q26" s="1301"/>
      <c r="R26" s="1301"/>
      <c r="S26" s="1301"/>
      <c r="T26" s="1327" t="s">
        <v>12</v>
      </c>
      <c r="U26" s="1415">
        <f ca="1">U24 +U25</f>
        <v>44030</v>
      </c>
      <c r="V26" s="1416"/>
      <c r="W26" s="175"/>
      <c r="X26" s="771"/>
    </row>
    <row r="27" spans="2:24" x14ac:dyDescent="0.25">
      <c r="B27" s="27"/>
      <c r="C27" s="28"/>
      <c r="D27" s="1306" t="s">
        <v>37</v>
      </c>
      <c r="E27" s="1307" t="s">
        <v>54</v>
      </c>
      <c r="F27" s="1301" t="s">
        <v>55</v>
      </c>
      <c r="G27" s="1301"/>
      <c r="H27" s="1301"/>
      <c r="I27" s="1301"/>
      <c r="J27" s="1301"/>
      <c r="K27" s="1301"/>
      <c r="L27" s="1301"/>
      <c r="M27" s="1301"/>
      <c r="N27" s="1301"/>
      <c r="O27" s="1301"/>
      <c r="P27" s="1301"/>
      <c r="Q27" s="1301"/>
      <c r="R27" s="1301"/>
      <c r="S27" s="1301"/>
      <c r="T27" s="1327" t="s">
        <v>37</v>
      </c>
      <c r="U27" s="1419">
        <v>0.4</v>
      </c>
      <c r="V27" s="1420"/>
      <c r="W27" s="175"/>
      <c r="X27" s="771"/>
    </row>
    <row r="28" spans="2:24" x14ac:dyDescent="0.25">
      <c r="B28" s="27"/>
      <c r="C28" s="28"/>
      <c r="D28" s="1306" t="s">
        <v>68</v>
      </c>
      <c r="E28" s="1307" t="s">
        <v>54</v>
      </c>
      <c r="F28" s="1301" t="s">
        <v>69</v>
      </c>
      <c r="G28" s="1301"/>
      <c r="H28" s="1301"/>
      <c r="I28" s="1301"/>
      <c r="J28" s="1301"/>
      <c r="K28" s="1301"/>
      <c r="L28" s="1301"/>
      <c r="M28" s="1301"/>
      <c r="N28" s="1301"/>
      <c r="O28" s="1301"/>
      <c r="P28" s="1306" t="s">
        <v>199</v>
      </c>
      <c r="Q28" s="1301"/>
      <c r="R28" s="1301"/>
      <c r="S28" s="1301"/>
      <c r="T28" s="1327" t="s">
        <v>68</v>
      </c>
      <c r="U28" s="1415">
        <f ca="1">1.4 * U26</f>
        <v>61641.999999999993</v>
      </c>
      <c r="V28" s="1416"/>
      <c r="W28" s="175"/>
      <c r="X28" s="771"/>
    </row>
    <row r="29" spans="2:24" x14ac:dyDescent="0.25">
      <c r="B29" s="27"/>
      <c r="C29" s="28"/>
      <c r="D29" s="1306" t="s">
        <v>38</v>
      </c>
      <c r="E29" s="1307" t="s">
        <v>54</v>
      </c>
      <c r="F29" s="1301" t="s">
        <v>58</v>
      </c>
      <c r="G29" s="1301"/>
      <c r="H29" s="1301"/>
      <c r="I29" s="1301"/>
      <c r="J29" s="1301"/>
      <c r="K29" s="1301"/>
      <c r="L29" s="1301"/>
      <c r="M29" s="1301"/>
      <c r="N29" s="1301"/>
      <c r="O29" s="1301"/>
      <c r="P29" s="1301"/>
      <c r="Q29" s="1301"/>
      <c r="R29" s="1301"/>
      <c r="S29" s="1301"/>
      <c r="T29" s="1327" t="s">
        <v>38</v>
      </c>
      <c r="U29" s="1419">
        <f>'Исходные данные'!$N$16</f>
        <v>0.8</v>
      </c>
      <c r="V29" s="1420"/>
      <c r="W29" s="175"/>
      <c r="X29" s="771"/>
    </row>
    <row r="30" spans="2:24" x14ac:dyDescent="0.25">
      <c r="B30" s="27"/>
      <c r="C30" s="28"/>
      <c r="D30" s="1306" t="s">
        <v>1</v>
      </c>
      <c r="E30" s="1307" t="s">
        <v>54</v>
      </c>
      <c r="F30" s="1301" t="s">
        <v>223</v>
      </c>
      <c r="G30" s="1301"/>
      <c r="H30" s="1301"/>
      <c r="I30" s="1301"/>
      <c r="J30" s="1301"/>
      <c r="K30" s="1301"/>
      <c r="L30" s="1301"/>
      <c r="M30" s="1301"/>
      <c r="N30" s="1301"/>
      <c r="O30" s="1301"/>
      <c r="P30" s="1301"/>
      <c r="Q30" s="1301"/>
      <c r="R30" s="1301"/>
      <c r="S30" s="1301"/>
      <c r="T30" s="1327" t="s">
        <v>1</v>
      </c>
      <c r="U30" s="1423">
        <f ca="1" xml:space="preserve"> VLOOKUP(Параметры!B8,__Периоды,3,0)</f>
        <v>0.74</v>
      </c>
      <c r="V30" s="1424"/>
      <c r="W30" s="175"/>
      <c r="X30" s="771"/>
    </row>
    <row r="31" spans="2:24" x14ac:dyDescent="0.25">
      <c r="B31" s="27"/>
      <c r="C31" s="28"/>
      <c r="D31" s="1306" t="s">
        <v>36</v>
      </c>
      <c r="E31" s="1307" t="s">
        <v>54</v>
      </c>
      <c r="F31" s="1301" t="s">
        <v>189</v>
      </c>
      <c r="G31" s="1301"/>
      <c r="H31" s="1301"/>
      <c r="I31" s="1301"/>
      <c r="J31" s="1301"/>
      <c r="K31" s="1301"/>
      <c r="L31" s="1301"/>
      <c r="M31" s="1301"/>
      <c r="N31" s="1301"/>
      <c r="O31" s="1301"/>
      <c r="P31" s="1306" t="s">
        <v>194</v>
      </c>
      <c r="Q31" s="1301"/>
      <c r="R31" s="1301"/>
      <c r="S31" s="1301"/>
      <c r="T31" s="1327" t="s">
        <v>36</v>
      </c>
      <c r="U31" s="1415">
        <f ca="1">U28* U29 *'Исходные данные'!$J$18</f>
        <v>49313.599999999999</v>
      </c>
      <c r="V31" s="1416"/>
      <c r="W31" s="175"/>
      <c r="X31" s="771"/>
    </row>
    <row r="32" spans="2:24" x14ac:dyDescent="0.25">
      <c r="B32" s="27"/>
      <c r="C32" s="28"/>
      <c r="D32" s="1306" t="s">
        <v>31</v>
      </c>
      <c r="E32" s="1307" t="s">
        <v>54</v>
      </c>
      <c r="F32" s="1301" t="s">
        <v>196</v>
      </c>
      <c r="G32" s="1301"/>
      <c r="H32" s="1301"/>
      <c r="I32" s="1301"/>
      <c r="J32" s="1301"/>
      <c r="K32" s="1301"/>
      <c r="L32" s="1301"/>
      <c r="M32" s="1301"/>
      <c r="N32" s="1301"/>
      <c r="O32" s="1301"/>
      <c r="P32" s="1306" t="s">
        <v>195</v>
      </c>
      <c r="Q32" s="1301"/>
      <c r="R32" s="1301"/>
      <c r="S32" s="1301"/>
      <c r="T32" s="1327" t="s">
        <v>31</v>
      </c>
      <c r="U32" s="1415">
        <f ca="1">U31*U30</f>
        <v>36492.063999999998</v>
      </c>
      <c r="V32" s="1416"/>
      <c r="W32" s="175"/>
      <c r="X32" s="771"/>
    </row>
    <row r="33" spans="2:24" s="61" customFormat="1" x14ac:dyDescent="0.25">
      <c r="B33" s="27"/>
      <c r="C33" s="28"/>
      <c r="D33" s="1306" t="s">
        <v>8</v>
      </c>
      <c r="E33" s="1307" t="s">
        <v>54</v>
      </c>
      <c r="F33" s="1301" t="s">
        <v>62</v>
      </c>
      <c r="G33" s="1301"/>
      <c r="H33" s="1301"/>
      <c r="I33" s="1301"/>
      <c r="J33" s="1301"/>
      <c r="K33" s="1301"/>
      <c r="L33" s="1301"/>
      <c r="M33" s="1301"/>
      <c r="N33" s="1301"/>
      <c r="O33" s="1301"/>
      <c r="P33" s="1306" t="s">
        <v>63</v>
      </c>
      <c r="Q33" s="1306"/>
      <c r="R33" s="1306"/>
      <c r="S33" s="1301"/>
      <c r="T33" s="1327" t="s">
        <v>8</v>
      </c>
      <c r="U33" s="1415">
        <f ca="1">U31-U32</f>
        <v>12821.536</v>
      </c>
      <c r="V33" s="1416"/>
      <c r="W33" s="175"/>
      <c r="X33" s="771"/>
    </row>
    <row r="34" spans="2:24" s="61" customFormat="1" x14ac:dyDescent="0.25">
      <c r="B34" s="27"/>
      <c r="C34" s="28"/>
      <c r="D34" s="1306" t="s">
        <v>228</v>
      </c>
      <c r="E34" s="1307" t="s">
        <v>54</v>
      </c>
      <c r="F34" s="1301" t="s">
        <v>250</v>
      </c>
      <c r="G34" s="1301"/>
      <c r="H34" s="1301"/>
      <c r="I34" s="1301"/>
      <c r="J34" s="1301"/>
      <c r="K34" s="1301"/>
      <c r="L34" s="1301"/>
      <c r="M34" s="1301"/>
      <c r="N34" s="1301"/>
      <c r="O34" s="1301"/>
      <c r="P34" s="1306"/>
      <c r="Q34" s="1306"/>
      <c r="R34" s="1306"/>
      <c r="S34" s="1301"/>
      <c r="T34" s="1327" t="s">
        <v>228</v>
      </c>
      <c r="U34" s="1423">
        <f ca="1" xml:space="preserve"> VLOOKUP(Параметры!B8,__Периоды,10,0)</f>
        <v>8.5999999999999993E-2</v>
      </c>
      <c r="V34" s="1424"/>
      <c r="W34" s="175"/>
      <c r="X34" s="771"/>
    </row>
    <row r="35" spans="2:24" s="61" customFormat="1" x14ac:dyDescent="0.25">
      <c r="B35" s="27"/>
      <c r="C35" s="28"/>
      <c r="D35" s="1306" t="s">
        <v>255</v>
      </c>
      <c r="E35" s="1307" t="s">
        <v>54</v>
      </c>
      <c r="F35" s="1301" t="s">
        <v>251</v>
      </c>
      <c r="G35" s="1301"/>
      <c r="H35" s="1301"/>
      <c r="I35" s="1301"/>
      <c r="J35" s="1301"/>
      <c r="K35" s="1301"/>
      <c r="L35" s="1301"/>
      <c r="M35" s="1301"/>
      <c r="N35" s="1301"/>
      <c r="O35" s="1301"/>
      <c r="P35" s="1306" t="s">
        <v>259</v>
      </c>
      <c r="Q35" s="1306"/>
      <c r="R35" s="1306"/>
      <c r="S35" s="1301"/>
      <c r="T35" s="1327" t="s">
        <v>255</v>
      </c>
      <c r="U35" s="1415">
        <f ca="1">ROUND(U32*U34,2)</f>
        <v>3138.32</v>
      </c>
      <c r="V35" s="1425"/>
      <c r="W35" s="175"/>
      <c r="X35" s="771"/>
    </row>
    <row r="36" spans="2:24" s="61" customFormat="1" x14ac:dyDescent="0.25">
      <c r="B36" s="27"/>
      <c r="C36" s="28"/>
      <c r="D36" s="1306" t="s">
        <v>256</v>
      </c>
      <c r="E36" s="1307" t="s">
        <v>54</v>
      </c>
      <c r="F36" s="1301" t="s">
        <v>252</v>
      </c>
      <c r="G36" s="1301"/>
      <c r="H36" s="1301"/>
      <c r="I36" s="1301"/>
      <c r="J36" s="1301"/>
      <c r="K36" s="1301"/>
      <c r="L36" s="1301"/>
      <c r="M36" s="1301"/>
      <c r="N36" s="1301"/>
      <c r="O36" s="1301"/>
      <c r="P36" s="1306" t="s">
        <v>260</v>
      </c>
      <c r="Q36" s="1306"/>
      <c r="R36" s="1306"/>
      <c r="S36" s="1301"/>
      <c r="T36" s="1327" t="s">
        <v>256</v>
      </c>
      <c r="U36" s="1415">
        <f ca="1" xml:space="preserve"> U32 + U35</f>
        <v>39630.383999999998</v>
      </c>
      <c r="V36" s="1425"/>
      <c r="W36" s="175"/>
      <c r="X36" s="771"/>
    </row>
    <row r="37" spans="2:24" s="61" customFormat="1" x14ac:dyDescent="0.25">
      <c r="B37" s="27"/>
      <c r="C37" s="28"/>
      <c r="D37" s="1306" t="s">
        <v>209</v>
      </c>
      <c r="E37" s="1307" t="s">
        <v>54</v>
      </c>
      <c r="F37" s="1301" t="s">
        <v>211</v>
      </c>
      <c r="G37" s="1301"/>
      <c r="H37" s="1301"/>
      <c r="I37" s="1301"/>
      <c r="J37" s="1301"/>
      <c r="K37" s="1301"/>
      <c r="L37" s="1301"/>
      <c r="M37" s="1301"/>
      <c r="N37" s="1301"/>
      <c r="O37" s="1301"/>
      <c r="P37" s="1306"/>
      <c r="Q37" s="1306"/>
      <c r="R37" s="1306"/>
      <c r="S37" s="1301"/>
      <c r="T37" s="1327" t="s">
        <v>209</v>
      </c>
      <c r="U37" s="1419">
        <f xml:space="preserve"> 'Исходные данные'!N18</f>
        <v>0.4</v>
      </c>
      <c r="V37" s="1420"/>
      <c r="W37" s="175"/>
      <c r="X37" s="771"/>
    </row>
    <row r="38" spans="2:24" x14ac:dyDescent="0.25">
      <c r="B38" s="27"/>
      <c r="C38" s="34"/>
      <c r="D38" s="1306" t="s">
        <v>59</v>
      </c>
      <c r="E38" s="1307" t="s">
        <v>54</v>
      </c>
      <c r="F38" s="1301" t="s">
        <v>190</v>
      </c>
      <c r="G38" s="1301"/>
      <c r="H38" s="1301"/>
      <c r="I38" s="1301"/>
      <c r="J38" s="1301"/>
      <c r="K38" s="1301"/>
      <c r="L38" s="1301"/>
      <c r="M38" s="1301"/>
      <c r="N38" s="1301"/>
      <c r="O38" s="1301"/>
      <c r="P38" s="1306" t="s">
        <v>210</v>
      </c>
      <c r="Q38" s="1301"/>
      <c r="R38" s="1301"/>
      <c r="S38" s="1301"/>
      <c r="T38" s="1327" t="s">
        <v>59</v>
      </c>
      <c r="U38" s="1415">
        <f ca="1">U28*U37*U30*'Исходные данные'!$J$18</f>
        <v>18246.031999999999</v>
      </c>
      <c r="V38" s="1416"/>
      <c r="W38" s="175"/>
      <c r="X38" s="771"/>
    </row>
    <row r="39" spans="2:24" s="61" customFormat="1" x14ac:dyDescent="0.25">
      <c r="B39" s="27"/>
      <c r="C39" s="28"/>
      <c r="D39" s="1306" t="s">
        <v>257</v>
      </c>
      <c r="E39" s="1307" t="s">
        <v>54</v>
      </c>
      <c r="F39" s="1301" t="s">
        <v>253</v>
      </c>
      <c r="G39" s="1301"/>
      <c r="H39" s="1301"/>
      <c r="I39" s="1301"/>
      <c r="J39" s="1301"/>
      <c r="K39" s="1301"/>
      <c r="L39" s="1301"/>
      <c r="M39" s="1301"/>
      <c r="N39" s="1301"/>
      <c r="O39" s="1301"/>
      <c r="P39" s="1306" t="s">
        <v>261</v>
      </c>
      <c r="Q39" s="1306"/>
      <c r="R39" s="1306"/>
      <c r="S39" s="1301"/>
      <c r="T39" s="1327" t="s">
        <v>257</v>
      </c>
      <c r="U39" s="1415">
        <f ca="1">ROUND(U38*U34,2)</f>
        <v>1569.16</v>
      </c>
      <c r="V39" s="1425"/>
      <c r="W39" s="175"/>
      <c r="X39" s="771"/>
    </row>
    <row r="40" spans="2:24" s="61" customFormat="1" x14ac:dyDescent="0.25">
      <c r="B40" s="27"/>
      <c r="C40" s="28"/>
      <c r="D40" s="1306" t="s">
        <v>258</v>
      </c>
      <c r="E40" s="1307" t="s">
        <v>54</v>
      </c>
      <c r="F40" s="1301" t="s">
        <v>254</v>
      </c>
      <c r="G40" s="1301"/>
      <c r="H40" s="1301"/>
      <c r="I40" s="1301"/>
      <c r="J40" s="1301"/>
      <c r="K40" s="1301"/>
      <c r="L40" s="1301"/>
      <c r="M40" s="1301"/>
      <c r="N40" s="1301"/>
      <c r="O40" s="1301"/>
      <c r="P40" s="1306" t="s">
        <v>262</v>
      </c>
      <c r="Q40" s="1306"/>
      <c r="R40" s="1306"/>
      <c r="S40" s="1301"/>
      <c r="T40" s="1327" t="s">
        <v>258</v>
      </c>
      <c r="U40" s="1415">
        <f ca="1">U38 + U39</f>
        <v>19815.191999999999</v>
      </c>
      <c r="V40" s="1425"/>
      <c r="W40" s="175"/>
      <c r="X40" s="771"/>
    </row>
    <row r="41" spans="2:24" ht="16.5" thickBot="1" x14ac:dyDescent="0.3">
      <c r="B41" s="27"/>
      <c r="C41" s="28"/>
      <c r="D41" s="1306" t="s">
        <v>117</v>
      </c>
      <c r="E41" s="1307" t="s">
        <v>54</v>
      </c>
      <c r="F41" s="1301" t="str">
        <f ca="1">CONCATENATE("Значение КК, планировавшееся с 1 января ",YEAR(TODAY())," г. в соответствии с ФЗ")</f>
        <v>Значение КК, планировавшееся с 1 января 2022 г. в соответствии с ФЗ</v>
      </c>
      <c r="G41" s="1301"/>
      <c r="H41" s="1301"/>
      <c r="I41" s="1301"/>
      <c r="J41" s="1301"/>
      <c r="K41" s="1301"/>
      <c r="L41" s="1301"/>
      <c r="M41" s="1301"/>
      <c r="N41" s="1301"/>
      <c r="O41" s="1301"/>
      <c r="P41" s="1301"/>
      <c r="Q41" s="1301"/>
      <c r="R41" s="1301"/>
      <c r="S41" s="1301"/>
      <c r="T41" s="1328" t="s">
        <v>117</v>
      </c>
      <c r="U41" s="1417">
        <f ca="1">IF(YEAR(U22)&gt;2035,1,(YEAR(U22)-2012)*0.02+0.54)</f>
        <v>0.74</v>
      </c>
      <c r="V41" s="1418"/>
      <c r="W41" s="175"/>
      <c r="X41" s="771"/>
    </row>
    <row r="42" spans="2:24" ht="10.5" customHeight="1" thickTop="1" x14ac:dyDescent="0.25">
      <c r="B42" s="27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170"/>
      <c r="U42" s="170"/>
      <c r="V42" s="170"/>
      <c r="W42" s="175"/>
      <c r="X42" s="771"/>
    </row>
    <row r="43" spans="2:24" s="11" customFormat="1" x14ac:dyDescent="0.25">
      <c r="B43" s="27"/>
      <c r="C43" s="31" t="s">
        <v>98</v>
      </c>
      <c r="D43" s="28"/>
      <c r="E43" s="28"/>
      <c r="F43" s="34"/>
      <c r="G43" s="28"/>
      <c r="H43" s="640">
        <f ca="1">Параметры!$E$19</f>
        <v>1</v>
      </c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170"/>
      <c r="U43" s="170"/>
      <c r="V43" s="170"/>
      <c r="W43" s="175"/>
      <c r="X43" s="771"/>
    </row>
    <row r="44" spans="2:24" s="11" customFormat="1" x14ac:dyDescent="0.25">
      <c r="B44" s="27"/>
      <c r="C44" s="28"/>
      <c r="D44" s="33" t="s">
        <v>140</v>
      </c>
      <c r="E44" s="30" t="s">
        <v>54</v>
      </c>
      <c r="F44" s="28" t="s">
        <v>200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170"/>
      <c r="U44" s="170"/>
      <c r="V44" s="170"/>
      <c r="W44" s="175"/>
      <c r="X44" s="771"/>
    </row>
    <row r="45" spans="2:24" s="61" customFormat="1" x14ac:dyDescent="0.25">
      <c r="B45" s="27"/>
      <c r="C45" s="28"/>
      <c r="D45" s="33" t="s">
        <v>141</v>
      </c>
      <c r="E45" s="30" t="s">
        <v>54</v>
      </c>
      <c r="F45" s="28" t="str">
        <f ca="1" xml:space="preserve"> CONCATENATE("Военная пенсия назначена в интервале дат с 1 января 2012 г.  по ", TEXT(TODAY()-1,"ДД.ММ.ГГГГ"), " г.")</f>
        <v>Военная пенсия назначена в интервале дат с 1 января 2012 г.  по 12.04.2022 г.</v>
      </c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170"/>
      <c r="U45" s="170"/>
      <c r="V45" s="170"/>
      <c r="W45" s="175"/>
      <c r="X45" s="771"/>
    </row>
    <row r="46" spans="2:24" s="61" customFormat="1" x14ac:dyDescent="0.25">
      <c r="B46" s="27"/>
      <c r="C46" s="28"/>
      <c r="D46" s="33" t="s">
        <v>142</v>
      </c>
      <c r="E46" s="30" t="s">
        <v>54</v>
      </c>
      <c r="F46" s="28" t="str">
        <f ca="1" xml:space="preserve"> CONCATENATE("Военная пенсия будет назначена в интервале дат с  ", TEXT(TODAY(),"ДД.ММ.ГГГГ"),"  г. по ",TEXT(Параметры!B5-1,"ДД.ММ.ГГГГ")," г." )</f>
        <v>Военная пенсия будет назначена в интервале дат с  13.04.2022  г. по 30.09.2024 г.</v>
      </c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170"/>
      <c r="U46" s="170"/>
      <c r="V46" s="170"/>
      <c r="W46" s="175"/>
      <c r="X46" s="771"/>
    </row>
    <row r="47" spans="2:24" s="61" customFormat="1" x14ac:dyDescent="0.25">
      <c r="B47" s="27"/>
      <c r="C47" s="28"/>
      <c r="D47" s="33" t="s">
        <v>197</v>
      </c>
      <c r="E47" s="30" t="s">
        <v>54</v>
      </c>
      <c r="F47" s="28" t="str">
        <f xml:space="preserve"> CONCATENATE("Военная пенсия будет назначена в интервале дат с  ", TEXT(Параметры!B5,"ДД.ММ.ГГГГ")," г. и позднее" )</f>
        <v>Военная пенсия будет назначена в интервале дат с  01.10.2024 г. и позднее</v>
      </c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170"/>
      <c r="U47" s="170"/>
      <c r="V47" s="170"/>
      <c r="W47" s="175"/>
      <c r="X47" s="771"/>
    </row>
    <row r="48" spans="2:24" s="61" customFormat="1" x14ac:dyDescent="0.25">
      <c r="B48" s="27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35"/>
      <c r="N48" s="28"/>
      <c r="O48" s="28"/>
      <c r="P48" s="28"/>
      <c r="Q48" s="28"/>
      <c r="R48" s="28"/>
      <c r="S48" s="28"/>
      <c r="T48" s="170"/>
      <c r="U48" s="170"/>
      <c r="V48" s="170"/>
      <c r="W48" s="175"/>
      <c r="X48" s="771"/>
    </row>
    <row r="49" spans="2:24" x14ac:dyDescent="0.25">
      <c r="B49" s="27"/>
      <c r="C49" s="31" t="s">
        <v>61</v>
      </c>
      <c r="D49" s="28"/>
      <c r="E49" s="30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170"/>
      <c r="U49" s="170"/>
      <c r="V49" s="170"/>
      <c r="W49" s="175"/>
      <c r="X49" s="771"/>
    </row>
    <row r="50" spans="2:24" x14ac:dyDescent="0.25">
      <c r="B50" s="27"/>
      <c r="C50" s="28"/>
      <c r="D50" s="28" t="s">
        <v>202</v>
      </c>
      <c r="E50" s="30"/>
      <c r="F50" s="28"/>
      <c r="G50" s="28"/>
      <c r="H50" s="30" t="s">
        <v>54</v>
      </c>
      <c r="I50" s="28" t="s">
        <v>65</v>
      </c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170"/>
      <c r="U50" s="170"/>
      <c r="V50" s="170"/>
      <c r="W50" s="175"/>
      <c r="X50" s="771"/>
    </row>
    <row r="51" spans="2:24" s="61" customFormat="1" x14ac:dyDescent="0.25">
      <c r="B51" s="27"/>
      <c r="C51" s="28"/>
      <c r="D51" s="33" t="s">
        <v>201</v>
      </c>
      <c r="E51" s="30"/>
      <c r="F51" s="28"/>
      <c r="G51" s="28"/>
      <c r="H51" s="30" t="s">
        <v>54</v>
      </c>
      <c r="I51" s="28" t="s">
        <v>206</v>
      </c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170"/>
      <c r="U51" s="170"/>
      <c r="V51" s="170"/>
      <c r="W51" s="175"/>
      <c r="X51" s="771"/>
    </row>
    <row r="52" spans="2:24" x14ac:dyDescent="0.25">
      <c r="B52" s="27"/>
      <c r="C52" s="28"/>
      <c r="D52" s="33" t="s">
        <v>203</v>
      </c>
      <c r="E52" s="28"/>
      <c r="F52" s="28"/>
      <c r="G52" s="28"/>
      <c r="H52" s="30" t="s">
        <v>54</v>
      </c>
      <c r="I52" s="28" t="s">
        <v>221</v>
      </c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170"/>
      <c r="U52" s="170"/>
      <c r="V52" s="170"/>
      <c r="W52" s="175"/>
      <c r="X52" s="771"/>
    </row>
    <row r="53" spans="2:24" s="11" customFormat="1" x14ac:dyDescent="0.25">
      <c r="B53" s="27"/>
      <c r="C53" s="28"/>
      <c r="D53" s="33" t="s">
        <v>204</v>
      </c>
      <c r="E53" s="28"/>
      <c r="F53" s="28"/>
      <c r="G53" s="28"/>
      <c r="H53" s="30" t="s">
        <v>54</v>
      </c>
      <c r="I53" s="28" t="s">
        <v>205</v>
      </c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170"/>
      <c r="U53" s="170"/>
      <c r="V53" s="170"/>
      <c r="W53" s="175"/>
      <c r="X53" s="771"/>
    </row>
    <row r="54" spans="2:24" x14ac:dyDescent="0.25">
      <c r="B54" s="27"/>
      <c r="C54" s="28"/>
      <c r="D54" s="33" t="s">
        <v>64</v>
      </c>
      <c r="E54" s="28"/>
      <c r="F54" s="28"/>
      <c r="G54" s="28"/>
      <c r="H54" s="30" t="s">
        <v>54</v>
      </c>
      <c r="I54" s="28" t="s">
        <v>67</v>
      </c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170"/>
      <c r="U54" s="170"/>
      <c r="V54" s="170"/>
      <c r="W54" s="175"/>
      <c r="X54" s="771"/>
    </row>
    <row r="55" spans="2:24" s="11" customFormat="1" ht="13.5" customHeight="1" x14ac:dyDescent="0.25">
      <c r="B55" s="27"/>
      <c r="C55" s="28"/>
      <c r="D55" s="28"/>
      <c r="E55" s="28"/>
      <c r="F55" s="34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170"/>
      <c r="U55" s="170"/>
      <c r="V55" s="170"/>
      <c r="W55" s="175"/>
      <c r="X55" s="771"/>
    </row>
    <row r="56" spans="2:24" s="11" customFormat="1" x14ac:dyDescent="0.25">
      <c r="B56" s="27"/>
      <c r="C56" s="31" t="s">
        <v>99</v>
      </c>
      <c r="D56" s="28"/>
      <c r="E56" s="28"/>
      <c r="F56" s="28"/>
      <c r="G56" s="28"/>
      <c r="H56" s="28"/>
      <c r="I56" s="28"/>
      <c r="J56" s="28"/>
      <c r="K56" s="28"/>
      <c r="L56" s="28"/>
      <c r="M56" s="35"/>
      <c r="N56" s="28"/>
      <c r="O56" s="28"/>
      <c r="P56" s="28"/>
      <c r="Q56" s="28"/>
      <c r="R56" s="28"/>
      <c r="S56" s="28"/>
      <c r="T56" s="170"/>
      <c r="U56" s="170"/>
      <c r="V56" s="170"/>
      <c r="W56" s="175"/>
      <c r="X56" s="771"/>
    </row>
    <row r="57" spans="2:24" s="61" customFormat="1" x14ac:dyDescent="0.25">
      <c r="B57" s="27"/>
      <c r="C57" s="31"/>
      <c r="D57" s="28" t="s">
        <v>287</v>
      </c>
      <c r="E57" s="28"/>
      <c r="F57" s="28"/>
      <c r="G57" s="28"/>
      <c r="H57" s="28"/>
      <c r="I57" s="28"/>
      <c r="J57" s="28"/>
      <c r="K57" s="28"/>
      <c r="L57" s="28"/>
      <c r="M57" s="35"/>
      <c r="N57" s="28"/>
      <c r="O57" s="28"/>
      <c r="P57" s="28"/>
      <c r="Q57" s="28"/>
      <c r="R57" s="28"/>
      <c r="S57" s="28"/>
      <c r="T57" s="170"/>
      <c r="U57" s="170"/>
      <c r="V57" s="170"/>
      <c r="W57" s="175"/>
      <c r="X57" s="771"/>
    </row>
    <row r="58" spans="2:24" s="11" customFormat="1" x14ac:dyDescent="0.25">
      <c r="B58" s="27"/>
      <c r="C58" s="28"/>
      <c r="D58" s="28" t="s">
        <v>100</v>
      </c>
      <c r="E58" s="28"/>
      <c r="F58" s="28"/>
      <c r="G58" s="28"/>
      <c r="H58" s="28"/>
      <c r="I58" s="28"/>
      <c r="J58" s="28"/>
      <c r="K58" s="28"/>
      <c r="L58" s="28"/>
      <c r="M58" s="35"/>
      <c r="N58" s="28"/>
      <c r="O58" s="28"/>
      <c r="P58" s="28"/>
      <c r="Q58" s="28"/>
      <c r="R58" s="28"/>
      <c r="S58" s="28"/>
      <c r="T58" s="170"/>
      <c r="U58" s="170"/>
      <c r="V58" s="170"/>
      <c r="W58" s="175"/>
      <c r="X58" s="771"/>
    </row>
    <row r="59" spans="2:24" s="61" customFormat="1" x14ac:dyDescent="0.25">
      <c r="B59" s="27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35"/>
      <c r="N59" s="28"/>
      <c r="O59" s="28"/>
      <c r="P59" s="28"/>
      <c r="Q59" s="28"/>
      <c r="R59" s="28"/>
      <c r="S59" s="28"/>
      <c r="T59" s="170"/>
      <c r="U59" s="170"/>
      <c r="V59" s="170"/>
      <c r="W59" s="175"/>
      <c r="X59" s="771"/>
    </row>
    <row r="60" spans="2:24" ht="16.5" thickBot="1" x14ac:dyDescent="0.3">
      <c r="B60" s="36"/>
      <c r="C60" s="1180" t="s">
        <v>24</v>
      </c>
      <c r="D60" s="1064" t="str">
        <f ca="1">CONCATENATE("Владимир2009, Colonel2012  2019 - ",TEXT(TODAY(),"ГГГГ")," г.г. ")</f>
        <v xml:space="preserve">Владимир2009, Colonel2012  2019 - 2022 г.г. </v>
      </c>
      <c r="E60" s="85"/>
      <c r="F60" s="85"/>
      <c r="G60" s="85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176"/>
      <c r="U60" s="176"/>
      <c r="V60" s="176"/>
      <c r="W60" s="177"/>
      <c r="X60" s="771"/>
    </row>
    <row r="61" spans="2:24" ht="6.75" customHeight="1" thickTop="1" x14ac:dyDescent="0.25">
      <c r="C61" s="769"/>
      <c r="D61" s="769"/>
      <c r="E61" s="769"/>
      <c r="F61" s="769"/>
      <c r="G61" s="769"/>
      <c r="H61" s="769"/>
      <c r="I61" s="769"/>
      <c r="J61" s="769"/>
      <c r="K61" s="769"/>
      <c r="L61" s="769"/>
      <c r="M61" s="769"/>
      <c r="N61" s="769"/>
      <c r="O61" s="769"/>
      <c r="P61" s="769"/>
      <c r="Q61" s="769"/>
      <c r="R61" s="769"/>
      <c r="S61" s="769"/>
      <c r="T61" s="770"/>
      <c r="U61" s="770"/>
      <c r="V61" s="770"/>
      <c r="W61" s="770"/>
      <c r="X61" s="770"/>
    </row>
  </sheetData>
  <sheetProtection algorithmName="SHA-512" hashValue="gIKk/CYiDaF8ZyFlmRLsv41pMQj0lTGOD3PeKthnKqdEVTRS+W2hU6Ngk615TqRQ3fUaJzF0Q26Rjkap0AQUKw==" saltValue="WU+G2XT/c4YJ3YocXm1Q+A==" spinCount="100000" sheet="1" objects="1" scenarios="1" selectLockedCells="1"/>
  <mergeCells count="28">
    <mergeCell ref="U34:V34"/>
    <mergeCell ref="U35:V35"/>
    <mergeCell ref="U36:V36"/>
    <mergeCell ref="U39:V39"/>
    <mergeCell ref="U40:V40"/>
    <mergeCell ref="T17:V17"/>
    <mergeCell ref="T18:V18"/>
    <mergeCell ref="U23:V23"/>
    <mergeCell ref="U24:V24"/>
    <mergeCell ref="U41:V41"/>
    <mergeCell ref="U37:V37"/>
    <mergeCell ref="U25:V25"/>
    <mergeCell ref="U26:V26"/>
    <mergeCell ref="U27:V27"/>
    <mergeCell ref="U28:V28"/>
    <mergeCell ref="U29:V29"/>
    <mergeCell ref="U33:V33"/>
    <mergeCell ref="U31:V31"/>
    <mergeCell ref="U30:V30"/>
    <mergeCell ref="U32:V32"/>
    <mergeCell ref="U38:V38"/>
    <mergeCell ref="T13:V13"/>
    <mergeCell ref="T14:V14"/>
    <mergeCell ref="T15:V15"/>
    <mergeCell ref="T16:V16"/>
    <mergeCell ref="F3:O3"/>
    <mergeCell ref="F5:O5"/>
    <mergeCell ref="F4:O4"/>
  </mergeCells>
  <conditionalFormatting sqref="D44 F44:J44">
    <cfRule type="expression" dxfId="4" priority="4">
      <formula>$H$43 = 1</formula>
    </cfRule>
  </conditionalFormatting>
  <conditionalFormatting sqref="D45 F45:M45">
    <cfRule type="expression" dxfId="3" priority="3">
      <formula>$H$43 = 2</formula>
    </cfRule>
  </conditionalFormatting>
  <conditionalFormatting sqref="D46 F46:N46">
    <cfRule type="expression" dxfId="2" priority="2">
      <formula>$H$43 = 3</formula>
    </cfRule>
  </conditionalFormatting>
  <conditionalFormatting sqref="D47 F47:M47">
    <cfRule type="expression" dxfId="1" priority="1">
      <formula>$H$43 = 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4035" r:id="rId4" name="CommandButton2">
          <controlPr defaultSize="0" autoFill="0" autoLine="0" r:id="rId5">
            <anchor moveWithCells="1">
              <from>
                <xdr:col>19</xdr:col>
                <xdr:colOff>809625</xdr:colOff>
                <xdr:row>2</xdr:row>
                <xdr:rowOff>133350</xdr:rowOff>
              </from>
              <to>
                <xdr:col>21</xdr:col>
                <xdr:colOff>28575</xdr:colOff>
                <xdr:row>3</xdr:row>
                <xdr:rowOff>114300</xdr:rowOff>
              </to>
            </anchor>
          </controlPr>
        </control>
      </mc:Choice>
      <mc:Fallback>
        <control shapeId="44035" r:id="rId4" name="CommandButton2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Лист70"/>
  <dimension ref="A1:Q91"/>
  <sheetViews>
    <sheetView showGridLines="0" workbookViewId="0">
      <selection activeCell="L19" sqref="L19"/>
    </sheetView>
  </sheetViews>
  <sheetFormatPr defaultRowHeight="15" x14ac:dyDescent="0.25"/>
  <cols>
    <col min="1" max="1" width="4.85546875" customWidth="1"/>
    <col min="2" max="2" width="11.140625" customWidth="1"/>
    <col min="3" max="3" width="14.28515625" customWidth="1"/>
    <col min="4" max="4" width="14.85546875" customWidth="1"/>
    <col min="5" max="5" width="12.5703125" style="12" customWidth="1"/>
    <col min="6" max="6" width="12.7109375" style="12" customWidth="1"/>
    <col min="7" max="7" width="9.85546875" style="12" customWidth="1"/>
    <col min="8" max="8" width="10.7109375" style="12" customWidth="1"/>
    <col min="9" max="9" width="10.42578125" style="12" customWidth="1"/>
    <col min="10" max="10" width="8.85546875" style="12" customWidth="1"/>
    <col min="11" max="11" width="9.140625" style="12" customWidth="1"/>
    <col min="12" max="12" width="15" style="12" customWidth="1"/>
    <col min="13" max="13" width="9.85546875" style="12" customWidth="1"/>
    <col min="14" max="14" width="12" style="12" customWidth="1"/>
    <col min="15" max="15" width="8.140625" customWidth="1"/>
  </cols>
  <sheetData>
    <row r="1" spans="1:16" s="171" customFormat="1" ht="12" customHeight="1" x14ac:dyDescent="0.2">
      <c r="C1" s="233"/>
      <c r="D1" s="234"/>
      <c r="E1" s="234"/>
      <c r="F1" s="234"/>
      <c r="G1" s="234"/>
      <c r="H1" s="234"/>
      <c r="I1" s="234"/>
      <c r="J1" s="235"/>
      <c r="K1" s="236"/>
      <c r="L1" s="234"/>
      <c r="M1" s="237"/>
      <c r="N1" s="237"/>
    </row>
    <row r="2" spans="1:16" s="171" customFormat="1" ht="12" customHeight="1" x14ac:dyDescent="0.2">
      <c r="A2" s="238"/>
      <c r="B2" s="239" t="s">
        <v>79</v>
      </c>
      <c r="C2" s="240"/>
      <c r="D2" s="240"/>
      <c r="E2" s="240"/>
      <c r="F2" s="240"/>
      <c r="L2" s="234"/>
      <c r="M2" s="237"/>
      <c r="N2" s="237"/>
    </row>
    <row r="3" spans="1:16" s="171" customFormat="1" ht="12" customHeight="1" thickBot="1" x14ac:dyDescent="0.3">
      <c r="B3" s="172"/>
      <c r="C3" s="172"/>
      <c r="D3" s="172"/>
      <c r="E3" s="172"/>
      <c r="F3" s="172"/>
      <c r="G3" s="1016" t="e">
        <f>SUM(K25,#REF!,#REF!,#REF!)</f>
        <v>#REF!</v>
      </c>
      <c r="H3" s="286" t="s">
        <v>267</v>
      </c>
      <c r="I3" s="234"/>
      <c r="J3" s="286" t="s">
        <v>268</v>
      </c>
      <c r="K3" s="234"/>
      <c r="L3" s="234"/>
      <c r="M3" s="237"/>
      <c r="N3" s="237"/>
    </row>
    <row r="4" spans="1:16" s="171" customFormat="1" ht="12" customHeight="1" thickTop="1" x14ac:dyDescent="0.2">
      <c r="B4" s="241">
        <f>COUNT(СпрИнд!E10:E28)</f>
        <v>17</v>
      </c>
      <c r="C4" s="242" t="s">
        <v>52</v>
      </c>
      <c r="D4" s="242"/>
      <c r="E4" s="243"/>
      <c r="F4" s="244"/>
      <c r="G4" s="245"/>
      <c r="I4" s="246"/>
      <c r="J4" s="286" t="s">
        <v>269</v>
      </c>
      <c r="K4" s="234"/>
      <c r="L4" s="234"/>
      <c r="M4" s="237"/>
      <c r="N4" s="237"/>
    </row>
    <row r="5" spans="1:16" s="171" customFormat="1" ht="12" customHeight="1" x14ac:dyDescent="0.2">
      <c r="B5" s="247">
        <f>VLOOKUP(B4,__Периоды,2,0)</f>
        <v>45566</v>
      </c>
      <c r="C5" s="248" t="s">
        <v>77</v>
      </c>
      <c r="D5" s="249"/>
      <c r="E5" s="250"/>
      <c r="F5" s="244"/>
      <c r="G5" s="245"/>
      <c r="H5" s="234"/>
      <c r="I5" s="234"/>
      <c r="J5" s="1017" t="s">
        <v>270</v>
      </c>
      <c r="K5" s="236"/>
      <c r="L5" s="234"/>
      <c r="M5" s="237"/>
      <c r="N5" s="237"/>
    </row>
    <row r="6" spans="1:16" s="171" customFormat="1" ht="12" customHeight="1" thickBot="1" x14ac:dyDescent="0.25">
      <c r="B6" s="251">
        <f ca="1">IF(E19=1,2012,YEAR('Исходные данные'!J12))</f>
        <v>2012</v>
      </c>
      <c r="C6" s="252" t="s">
        <v>35</v>
      </c>
      <c r="D6" s="253"/>
      <c r="E6" s="254"/>
      <c r="F6" s="255"/>
      <c r="G6" s="1018">
        <f ca="1" xml:space="preserve"> IF(B6 &lt; YEAR(TODAY()),1,0)</f>
        <v>1</v>
      </c>
      <c r="H6" s="256"/>
      <c r="I6" s="234"/>
      <c r="J6" s="1019"/>
      <c r="K6" s="236"/>
      <c r="L6" s="234"/>
      <c r="M6" s="237"/>
      <c r="N6" s="237"/>
    </row>
    <row r="7" spans="1:16" s="171" customFormat="1" ht="12" customHeight="1" x14ac:dyDescent="0.2">
      <c r="B7" s="257">
        <f ca="1">MATCH("===&gt;",СпрИнд!D9:D28,0)-1</f>
        <v>1</v>
      </c>
      <c r="C7" s="258" t="s">
        <v>27</v>
      </c>
      <c r="D7" s="258"/>
      <c r="E7" s="259"/>
      <c r="F7" s="244"/>
      <c r="G7" s="245"/>
      <c r="H7" s="234"/>
      <c r="I7" s="234"/>
      <c r="J7" s="234"/>
      <c r="K7" s="234"/>
      <c r="L7" s="234"/>
      <c r="M7" s="237"/>
      <c r="N7" s="237"/>
    </row>
    <row r="8" spans="1:16" s="171" customFormat="1" ht="12" customHeight="1" x14ac:dyDescent="0.2">
      <c r="B8" s="260">
        <f ca="1">MATCH("&lt;===",СпрИнд!J9:J28,0)-1</f>
        <v>13</v>
      </c>
      <c r="C8" s="261" t="s">
        <v>28</v>
      </c>
      <c r="D8" s="261"/>
      <c r="E8" s="262"/>
      <c r="F8" s="244"/>
      <c r="G8" s="245"/>
      <c r="H8" s="234"/>
      <c r="I8" s="234"/>
      <c r="J8" s="234"/>
      <c r="K8" s="234"/>
      <c r="L8" s="234"/>
      <c r="M8" s="237"/>
      <c r="N8" s="237"/>
    </row>
    <row r="9" spans="1:16" s="171" customFormat="1" ht="12" customHeight="1" x14ac:dyDescent="0.2">
      <c r="B9" s="263">
        <f ca="1">B8+1</f>
        <v>14</v>
      </c>
      <c r="C9" s="264" t="s">
        <v>29</v>
      </c>
      <c r="D9" s="264"/>
      <c r="E9" s="265"/>
      <c r="F9" s="244"/>
      <c r="G9" s="245"/>
      <c r="H9" s="234"/>
      <c r="I9" s="234"/>
      <c r="J9" s="234"/>
      <c r="K9" s="234"/>
      <c r="L9" s="234"/>
      <c r="M9" s="237"/>
      <c r="N9" s="237"/>
    </row>
    <row r="10" spans="1:16" s="171" customFormat="1" ht="12" customHeight="1" x14ac:dyDescent="0.2">
      <c r="B10" s="266">
        <f ca="1">B4-B7+1</f>
        <v>17</v>
      </c>
      <c r="C10" s="248" t="s">
        <v>40</v>
      </c>
      <c r="D10" s="248"/>
      <c r="E10" s="250"/>
      <c r="F10" s="244"/>
      <c r="G10" s="245"/>
      <c r="H10" s="234"/>
      <c r="I10" s="234"/>
      <c r="J10" s="234"/>
      <c r="K10" s="234"/>
      <c r="L10" s="234"/>
      <c r="M10" s="237"/>
      <c r="N10" s="237"/>
    </row>
    <row r="11" spans="1:16" s="171" customFormat="1" ht="12" customHeight="1" thickBot="1" x14ac:dyDescent="0.25">
      <c r="B11" s="267">
        <f ca="1">B4-B8</f>
        <v>4</v>
      </c>
      <c r="C11" s="268" t="s">
        <v>30</v>
      </c>
      <c r="D11" s="268"/>
      <c r="E11" s="269"/>
      <c r="F11" s="244"/>
      <c r="G11" s="245"/>
      <c r="H11" s="234"/>
      <c r="I11" s="234"/>
      <c r="J11" s="234"/>
      <c r="K11" s="234"/>
      <c r="L11" s="234"/>
      <c r="M11" s="237"/>
      <c r="N11" s="237"/>
    </row>
    <row r="12" spans="1:16" s="171" customFormat="1" ht="12" customHeight="1" x14ac:dyDescent="0.2">
      <c r="B12" s="270">
        <f ca="1">VLOOKUP(B7,__Периоды,8,0)</f>
        <v>1</v>
      </c>
      <c r="C12" s="271" t="s">
        <v>80</v>
      </c>
      <c r="D12" s="271"/>
      <c r="E12" s="272"/>
      <c r="F12" s="244"/>
      <c r="G12" s="245"/>
      <c r="H12" s="234"/>
      <c r="I12" s="234"/>
      <c r="J12" s="234"/>
      <c r="K12" s="234"/>
      <c r="L12" s="234"/>
      <c r="M12" s="237"/>
      <c r="N12" s="237"/>
    </row>
    <row r="13" spans="1:16" s="171" customFormat="1" ht="12" customHeight="1" thickBot="1" x14ac:dyDescent="0.25">
      <c r="B13" s="273">
        <f ca="1">VLOOKUP(B8,__Периоды,8,0)</f>
        <v>5</v>
      </c>
      <c r="C13" s="274" t="s">
        <v>78</v>
      </c>
      <c r="D13" s="274"/>
      <c r="E13" s="275"/>
      <c r="F13" s="244"/>
      <c r="G13" s="245"/>
      <c r="H13" s="234"/>
      <c r="I13" s="234"/>
      <c r="J13" s="234"/>
      <c r="K13" s="234"/>
      <c r="L13" s="234"/>
      <c r="M13" s="237"/>
      <c r="N13" s="237"/>
    </row>
    <row r="14" spans="1:16" s="171" customFormat="1" ht="12" customHeight="1" thickTop="1" x14ac:dyDescent="0.2">
      <c r="C14" s="233"/>
      <c r="D14" s="234"/>
      <c r="E14" s="234"/>
      <c r="F14" s="234"/>
      <c r="G14" s="234"/>
      <c r="H14" s="234"/>
      <c r="I14" s="234"/>
      <c r="J14" s="235"/>
      <c r="K14" s="236"/>
      <c r="L14" s="234"/>
      <c r="M14" s="237"/>
      <c r="N14" s="237"/>
    </row>
    <row r="15" spans="1:16" s="171" customFormat="1" ht="12" customHeight="1" x14ac:dyDescent="0.2">
      <c r="A15" s="276"/>
      <c r="B15" s="276"/>
      <c r="C15" s="277"/>
      <c r="D15" s="278"/>
      <c r="E15" s="278"/>
      <c r="F15" s="278"/>
      <c r="G15" s="278"/>
      <c r="H15" s="278"/>
      <c r="I15" s="278"/>
      <c r="J15" s="279"/>
      <c r="K15" s="280"/>
      <c r="L15" s="278"/>
      <c r="M15" s="281"/>
      <c r="N15" s="281"/>
      <c r="O15" s="276"/>
      <c r="P15" s="276"/>
    </row>
    <row r="16" spans="1:16" s="171" customFormat="1" ht="12" customHeight="1" x14ac:dyDescent="0.2">
      <c r="C16" s="233"/>
      <c r="D16" s="234"/>
      <c r="E16" s="234"/>
      <c r="F16" s="234"/>
      <c r="G16" s="234"/>
      <c r="H16" s="234"/>
      <c r="I16" s="234"/>
      <c r="J16" s="235"/>
      <c r="K16" s="236"/>
      <c r="L16" s="234"/>
      <c r="M16" s="237"/>
      <c r="N16" s="237"/>
    </row>
    <row r="17" spans="2:17" s="171" customFormat="1" ht="12" customHeight="1" x14ac:dyDescent="0.2">
      <c r="B17" s="282" t="s">
        <v>82</v>
      </c>
      <c r="C17" s="234"/>
      <c r="D17" s="234"/>
      <c r="E17" s="234"/>
      <c r="F17" s="234"/>
      <c r="G17" s="234"/>
      <c r="H17" s="283">
        <v>40909</v>
      </c>
      <c r="I17" s="284"/>
      <c r="J17" s="236"/>
      <c r="K17" s="234"/>
      <c r="L17" s="237"/>
      <c r="M17" s="234"/>
      <c r="N17" s="237"/>
    </row>
    <row r="18" spans="2:17" s="171" customFormat="1" ht="12" customHeight="1" x14ac:dyDescent="0.2">
      <c r="B18" s="282"/>
      <c r="C18" s="234"/>
      <c r="D18" s="234"/>
      <c r="E18" s="234"/>
      <c r="F18" s="234"/>
      <c r="G18" s="234"/>
      <c r="H18" s="235"/>
      <c r="I18" s="233"/>
      <c r="J18" s="236"/>
      <c r="K18" s="234"/>
      <c r="L18" s="1431" t="s">
        <v>170</v>
      </c>
      <c r="M18" s="1431"/>
      <c r="N18" s="237"/>
    </row>
    <row r="19" spans="2:17" s="171" customFormat="1" ht="12" customHeight="1" x14ac:dyDescent="0.2">
      <c r="B19" s="282"/>
      <c r="C19" s="1426" t="s">
        <v>125</v>
      </c>
      <c r="D19" s="1426"/>
      <c r="E19" s="285">
        <f ca="1">IF('Исходные данные'!$J$12&gt;=Параметры!$B$5,4,IF('Исходные данные'!$J$12&gt;=TODAY(),3,IF('Исходные данные'!$J$12&gt;=$H$17,2,1)))</f>
        <v>1</v>
      </c>
      <c r="F19" s="286" t="s">
        <v>123</v>
      </c>
      <c r="G19" s="234"/>
      <c r="H19" s="234"/>
      <c r="I19" s="234"/>
      <c r="J19" s="234"/>
      <c r="K19" s="234"/>
      <c r="L19" s="434">
        <v>1</v>
      </c>
      <c r="M19" s="232">
        <f ca="1">E19*10+L19</f>
        <v>11</v>
      </c>
      <c r="N19" s="237"/>
    </row>
    <row r="20" spans="2:17" s="171" customFormat="1" ht="12" customHeight="1" x14ac:dyDescent="0.2">
      <c r="B20" s="285"/>
      <c r="C20" s="234"/>
      <c r="D20" s="234"/>
      <c r="E20" s="234"/>
      <c r="F20" s="286" t="str">
        <f ca="1" xml:space="preserve"> CONCATENATE("2 - ВП назначена в интервале дат с 01.01.2012 по ", TEXT(TODAY(),"ДД.ММ.ГГГГ"))</f>
        <v>2 - ВП назначена в интервале дат с 01.01.2012 по 13.04.2022</v>
      </c>
      <c r="G20" s="234"/>
      <c r="H20" s="234"/>
      <c r="I20" s="234"/>
      <c r="J20" s="234"/>
      <c r="K20" s="234"/>
      <c r="L20" s="237"/>
      <c r="M20" s="234"/>
      <c r="N20" s="237"/>
      <c r="Q20" s="171">
        <f ca="1">(VLOOKUP(Параметры!B9,__ВПрасч1,5,0) + VLOOKUP(Параметры!B9,__ВПрасч1,6,0)) * 1.4 *'Исходные данные'!M25 *'Военная пенсия 1'!G22 *(1+M20)</f>
        <v>0</v>
      </c>
    </row>
    <row r="21" spans="2:17" s="171" customFormat="1" ht="12" customHeight="1" x14ac:dyDescent="0.2">
      <c r="B21" s="312"/>
      <c r="C21" s="234"/>
      <c r="D21" s="234"/>
      <c r="E21" s="234"/>
      <c r="F21" s="286" t="str">
        <f ca="1" xml:space="preserve"> CONCATENATE("3 - ВП будет назначена в интервале дат от ", TEXT(TODAY()+1,"ДД.ММ.ГГГГ")," по ",TEXT(B5-1,"ДД.ММ.ГГГГ"))</f>
        <v>3 - ВП будет назначена в интервале дат от 14.04.2022 по 30.09.2024</v>
      </c>
      <c r="G21" s="234"/>
      <c r="H21" s="234"/>
      <c r="I21" s="234"/>
      <c r="J21" s="236"/>
      <c r="K21" s="234"/>
      <c r="L21" s="237"/>
      <c r="M21" s="234"/>
      <c r="N21" s="237"/>
    </row>
    <row r="22" spans="2:17" s="171" customFormat="1" ht="12" customHeight="1" x14ac:dyDescent="0.2">
      <c r="B22" s="282"/>
      <c r="C22" s="234"/>
      <c r="D22" s="234"/>
      <c r="E22" s="234"/>
      <c r="F22" s="286" t="str">
        <f xml:space="preserve"> CONCATENATE("4 - ВП будет назначена с ", TEXT(B5,"ДД.ММ.ГГГГ")," и позднее")</f>
        <v>4 - ВП будет назначена с 01.10.2024 и позднее</v>
      </c>
      <c r="G22" s="234"/>
      <c r="H22" s="234"/>
      <c r="I22" s="234"/>
      <c r="J22" s="234"/>
      <c r="K22" s="234"/>
      <c r="L22" s="237"/>
      <c r="M22" s="234"/>
      <c r="N22" s="237"/>
    </row>
    <row r="23" spans="2:17" s="171" customFormat="1" ht="12" customHeight="1" x14ac:dyDescent="0.2">
      <c r="B23" s="282"/>
      <c r="C23" s="234"/>
      <c r="D23" s="234"/>
      <c r="E23" s="234"/>
      <c r="F23" s="234"/>
      <c r="G23" s="234"/>
      <c r="H23" s="234"/>
      <c r="I23" s="234"/>
      <c r="J23" s="234"/>
      <c r="K23" s="234"/>
      <c r="L23" s="237"/>
      <c r="M23" s="234"/>
      <c r="N23" s="237"/>
    </row>
    <row r="24" spans="2:17" s="171" customFormat="1" ht="12" customHeight="1" x14ac:dyDescent="0.2">
      <c r="B24" s="330"/>
      <c r="C24" s="1427" t="s">
        <v>126</v>
      </c>
      <c r="D24" s="1427"/>
      <c r="E24" s="326" t="s">
        <v>131</v>
      </c>
      <c r="F24" s="326" t="s">
        <v>132</v>
      </c>
      <c r="G24" s="326" t="s">
        <v>135</v>
      </c>
      <c r="H24" s="326" t="s">
        <v>135</v>
      </c>
      <c r="I24" s="326" t="s">
        <v>135</v>
      </c>
      <c r="J24" s="326" t="s">
        <v>136</v>
      </c>
      <c r="K24" s="326" t="s">
        <v>138</v>
      </c>
      <c r="L24" s="237"/>
      <c r="M24" s="234"/>
      <c r="N24" s="237"/>
    </row>
    <row r="25" spans="2:17" s="171" customFormat="1" ht="12" customHeight="1" thickBot="1" x14ac:dyDescent="0.25">
      <c r="B25" s="330"/>
      <c r="C25" s="331"/>
      <c r="D25" s="331"/>
      <c r="E25" s="326" t="s">
        <v>133</v>
      </c>
      <c r="F25" s="326" t="s">
        <v>134</v>
      </c>
      <c r="G25" s="326" t="s">
        <v>122</v>
      </c>
      <c r="H25" s="326" t="s">
        <v>12</v>
      </c>
      <c r="I25" s="326" t="s">
        <v>116</v>
      </c>
      <c r="J25" s="326" t="s">
        <v>137</v>
      </c>
      <c r="K25" s="791">
        <f ca="1">SUM(K27,K31,K35)</f>
        <v>0</v>
      </c>
      <c r="L25" s="237"/>
      <c r="M25" s="234"/>
      <c r="N25" s="237"/>
    </row>
    <row r="26" spans="2:17" s="171" customFormat="1" ht="12" customHeight="1" x14ac:dyDescent="0.2">
      <c r="B26" s="287">
        <v>1</v>
      </c>
      <c r="C26" s="342" t="s">
        <v>119</v>
      </c>
      <c r="D26" s="343"/>
      <c r="E26" s="288">
        <v>1</v>
      </c>
      <c r="F26" s="288">
        <v>1</v>
      </c>
      <c r="G26" s="288">
        <v>1</v>
      </c>
      <c r="H26" s="288">
        <v>1</v>
      </c>
      <c r="I26" s="288">
        <v>1</v>
      </c>
      <c r="J26" s="288">
        <v>1</v>
      </c>
      <c r="K26" s="289"/>
      <c r="L26" s="237"/>
      <c r="M26" s="234"/>
      <c r="N26" s="234"/>
    </row>
    <row r="27" spans="2:17" s="171" customFormat="1" ht="12" customHeight="1" x14ac:dyDescent="0.2">
      <c r="B27" s="290">
        <f>B26+1</f>
        <v>2</v>
      </c>
      <c r="C27" s="344" t="s">
        <v>127</v>
      </c>
      <c r="D27" s="345"/>
      <c r="E27" s="402">
        <f ca="1">IF(E19=1,1,0)</f>
        <v>1</v>
      </c>
      <c r="F27" s="402">
        <v>0</v>
      </c>
      <c r="G27" s="402">
        <f ca="1">IF(E19=1,1,0)</f>
        <v>1</v>
      </c>
      <c r="H27" s="402">
        <f ca="1">IF(E19=1,1,0)</f>
        <v>1</v>
      </c>
      <c r="I27" s="402">
        <f ca="1">IF(E19=1,1,0)</f>
        <v>1</v>
      </c>
      <c r="J27" s="402">
        <v>0</v>
      </c>
      <c r="K27" s="403">
        <f ca="1">SUM(E58:E60)</f>
        <v>0</v>
      </c>
      <c r="L27" s="234"/>
      <c r="M27" s="234"/>
      <c r="N27" s="234"/>
    </row>
    <row r="28" spans="2:17" s="171" customFormat="1" ht="12" customHeight="1" x14ac:dyDescent="0.2">
      <c r="B28" s="292"/>
      <c r="C28" s="346"/>
      <c r="D28" s="347"/>
      <c r="E28" s="404"/>
      <c r="F28" s="404"/>
      <c r="G28" s="404"/>
      <c r="H28" s="404"/>
      <c r="I28" s="404"/>
      <c r="J28" s="404"/>
      <c r="K28" s="405"/>
      <c r="L28" s="234"/>
      <c r="M28" s="234"/>
      <c r="N28" s="234"/>
    </row>
    <row r="29" spans="2:17" s="171" customFormat="1" ht="12" customHeight="1" x14ac:dyDescent="0.2">
      <c r="B29" s="292"/>
      <c r="C29" s="346"/>
      <c r="D29" s="347"/>
      <c r="E29" s="404"/>
      <c r="F29" s="404"/>
      <c r="G29" s="404"/>
      <c r="H29" s="404"/>
      <c r="I29" s="404"/>
      <c r="J29" s="404"/>
      <c r="K29" s="405"/>
      <c r="L29" s="237"/>
      <c r="M29" s="234"/>
      <c r="N29" s="237"/>
    </row>
    <row r="30" spans="2:17" s="171" customFormat="1" ht="12" customHeight="1" x14ac:dyDescent="0.2">
      <c r="B30" s="294"/>
      <c r="C30" s="349"/>
      <c r="D30" s="348"/>
      <c r="E30" s="406"/>
      <c r="F30" s="406"/>
      <c r="G30" s="406"/>
      <c r="H30" s="406"/>
      <c r="I30" s="406"/>
      <c r="J30" s="406"/>
      <c r="K30" s="407"/>
      <c r="L30" s="237"/>
      <c r="M30" s="234"/>
      <c r="N30" s="237"/>
    </row>
    <row r="31" spans="2:17" s="171" customFormat="1" ht="12" customHeight="1" x14ac:dyDescent="0.2">
      <c r="B31" s="290">
        <f t="shared" ref="B31:B46" si="0">B30+1</f>
        <v>1</v>
      </c>
      <c r="C31" s="344" t="s">
        <v>128</v>
      </c>
      <c r="D31" s="345"/>
      <c r="E31" s="402">
        <f ca="1">IF(E19=2,1,0)</f>
        <v>0</v>
      </c>
      <c r="F31" s="402">
        <v>0</v>
      </c>
      <c r="G31" s="402">
        <f ca="1">IF(E19=2,1,0)</f>
        <v>0</v>
      </c>
      <c r="H31" s="402">
        <f ca="1">IF(E19=2,1,0)</f>
        <v>0</v>
      </c>
      <c r="I31" s="402">
        <f ca="1">IF(E19=2,1,0)</f>
        <v>0</v>
      </c>
      <c r="J31" s="402">
        <v>0</v>
      </c>
      <c r="K31" s="403">
        <f ca="1">SUM(E64:E66)</f>
        <v>0</v>
      </c>
      <c r="L31" s="234"/>
      <c r="M31" s="234"/>
      <c r="N31" s="237"/>
    </row>
    <row r="32" spans="2:17" s="171" customFormat="1" ht="12" customHeight="1" x14ac:dyDescent="0.2">
      <c r="B32" s="292"/>
      <c r="C32" s="346"/>
      <c r="D32" s="347"/>
      <c r="E32" s="404"/>
      <c r="F32" s="404"/>
      <c r="G32" s="404"/>
      <c r="H32" s="404"/>
      <c r="I32" s="404"/>
      <c r="J32" s="404"/>
      <c r="K32" s="405"/>
      <c r="L32" s="234"/>
      <c r="M32" s="234"/>
      <c r="N32" s="237"/>
    </row>
    <row r="33" spans="2:14" s="171" customFormat="1" ht="12" customHeight="1" x14ac:dyDescent="0.2">
      <c r="B33" s="292"/>
      <c r="C33" s="346"/>
      <c r="D33" s="347"/>
      <c r="E33" s="404"/>
      <c r="F33" s="404"/>
      <c r="G33" s="404"/>
      <c r="H33" s="404"/>
      <c r="I33" s="404"/>
      <c r="J33" s="404"/>
      <c r="K33" s="405"/>
      <c r="L33" s="237"/>
      <c r="M33" s="234"/>
      <c r="N33" s="237"/>
    </row>
    <row r="34" spans="2:14" s="171" customFormat="1" ht="12" customHeight="1" x14ac:dyDescent="0.2">
      <c r="B34" s="296"/>
      <c r="C34" s="349"/>
      <c r="D34" s="350"/>
      <c r="E34" s="408"/>
      <c r="F34" s="408"/>
      <c r="G34" s="408"/>
      <c r="H34" s="408"/>
      <c r="I34" s="408"/>
      <c r="J34" s="408"/>
      <c r="K34" s="409"/>
      <c r="L34" s="237"/>
      <c r="M34" s="234"/>
      <c r="N34" s="237"/>
    </row>
    <row r="35" spans="2:14" s="171" customFormat="1" ht="12" customHeight="1" x14ac:dyDescent="0.2">
      <c r="B35" s="297">
        <f t="shared" si="0"/>
        <v>1</v>
      </c>
      <c r="C35" s="351" t="s">
        <v>129</v>
      </c>
      <c r="D35" s="352"/>
      <c r="E35" s="410">
        <f ca="1">IF(E19=3,1,0)</f>
        <v>0</v>
      </c>
      <c r="F35" s="410">
        <v>0</v>
      </c>
      <c r="G35" s="410">
        <f ca="1">IF(E19=3,1,0)</f>
        <v>0</v>
      </c>
      <c r="H35" s="410">
        <f ca="1">IF(E19=3,1,0)</f>
        <v>0</v>
      </c>
      <c r="I35" s="410">
        <f ca="1">IF(E19=3,1,0)</f>
        <v>0</v>
      </c>
      <c r="J35" s="410">
        <v>0</v>
      </c>
      <c r="K35" s="403">
        <f ca="1">SUM(E70:E71)</f>
        <v>0</v>
      </c>
      <c r="L35" s="234"/>
      <c r="M35" s="234"/>
      <c r="N35" s="237"/>
    </row>
    <row r="36" spans="2:14" s="171" customFormat="1" ht="12" customHeight="1" x14ac:dyDescent="0.2">
      <c r="B36" s="292"/>
      <c r="C36" s="346"/>
      <c r="D36" s="347"/>
      <c r="E36" s="404"/>
      <c r="F36" s="404"/>
      <c r="G36" s="404"/>
      <c r="H36" s="404"/>
      <c r="I36" s="404"/>
      <c r="J36" s="404"/>
      <c r="K36" s="405"/>
      <c r="L36" s="234"/>
      <c r="M36" s="234"/>
      <c r="N36" s="237"/>
    </row>
    <row r="37" spans="2:14" s="171" customFormat="1" ht="12" customHeight="1" x14ac:dyDescent="0.2">
      <c r="B37" s="292"/>
      <c r="C37" s="346"/>
      <c r="D37" s="347"/>
      <c r="E37" s="404"/>
      <c r="F37" s="404"/>
      <c r="G37" s="404"/>
      <c r="H37" s="404"/>
      <c r="I37" s="404"/>
      <c r="J37" s="404"/>
      <c r="K37" s="405"/>
      <c r="L37" s="237"/>
      <c r="M37" s="234"/>
      <c r="N37" s="237"/>
    </row>
    <row r="38" spans="2:14" s="171" customFormat="1" ht="12" customHeight="1" x14ac:dyDescent="0.2">
      <c r="B38" s="294"/>
      <c r="C38" s="349"/>
      <c r="D38" s="348"/>
      <c r="E38" s="406"/>
      <c r="F38" s="406"/>
      <c r="G38" s="406"/>
      <c r="H38" s="406"/>
      <c r="I38" s="406"/>
      <c r="J38" s="406"/>
      <c r="K38" s="407"/>
      <c r="L38" s="237"/>
      <c r="M38" s="234"/>
      <c r="N38" s="237"/>
    </row>
    <row r="39" spans="2:14" s="171" customFormat="1" ht="12" customHeight="1" x14ac:dyDescent="0.2">
      <c r="B39" s="290">
        <f t="shared" si="0"/>
        <v>1</v>
      </c>
      <c r="C39" s="344" t="s">
        <v>130</v>
      </c>
      <c r="D39" s="345"/>
      <c r="E39" s="402">
        <f ca="1">IF(E19=4,1,0)</f>
        <v>0</v>
      </c>
      <c r="F39" s="402">
        <v>0</v>
      </c>
      <c r="G39" s="402">
        <f ca="1">IF(E19=4,1,0)</f>
        <v>0</v>
      </c>
      <c r="H39" s="402">
        <f ca="1">IF(E19=4,1,0)</f>
        <v>0</v>
      </c>
      <c r="I39" s="402">
        <f ca="1">IF(E19=4,1,0)</f>
        <v>0</v>
      </c>
      <c r="J39" s="402">
        <v>0</v>
      </c>
      <c r="K39" s="403"/>
      <c r="L39" s="237"/>
      <c r="M39" s="234"/>
      <c r="N39" s="237"/>
    </row>
    <row r="40" spans="2:14" s="171" customFormat="1" ht="12" customHeight="1" x14ac:dyDescent="0.2">
      <c r="B40" s="296"/>
      <c r="C40" s="346"/>
      <c r="D40" s="350"/>
      <c r="E40" s="408"/>
      <c r="F40" s="408"/>
      <c r="G40" s="408"/>
      <c r="H40" s="408"/>
      <c r="I40" s="408"/>
      <c r="J40" s="408"/>
      <c r="K40" s="409"/>
      <c r="L40" s="237"/>
      <c r="M40" s="234"/>
      <c r="N40" s="237"/>
    </row>
    <row r="41" spans="2:14" s="171" customFormat="1" ht="12" customHeight="1" x14ac:dyDescent="0.2">
      <c r="B41" s="299">
        <f t="shared" si="0"/>
        <v>1</v>
      </c>
      <c r="C41" s="353" t="s">
        <v>122</v>
      </c>
      <c r="D41" s="354"/>
      <c r="E41" s="300">
        <v>0</v>
      </c>
      <c r="F41" s="300">
        <v>0</v>
      </c>
      <c r="G41" s="300">
        <v>1</v>
      </c>
      <c r="H41" s="300">
        <v>0</v>
      </c>
      <c r="I41" s="300">
        <v>0</v>
      </c>
      <c r="J41" s="300">
        <v>0</v>
      </c>
      <c r="K41" s="301"/>
      <c r="L41" s="237"/>
      <c r="M41" s="234"/>
      <c r="N41" s="237"/>
    </row>
    <row r="42" spans="2:14" s="171" customFormat="1" ht="12" customHeight="1" x14ac:dyDescent="0.2">
      <c r="B42" s="302">
        <f t="shared" si="0"/>
        <v>2</v>
      </c>
      <c r="C42" s="332" t="s">
        <v>120</v>
      </c>
      <c r="D42" s="337"/>
      <c r="E42" s="291">
        <v>0</v>
      </c>
      <c r="F42" s="291">
        <v>0</v>
      </c>
      <c r="G42" s="291">
        <v>0</v>
      </c>
      <c r="H42" s="291">
        <v>1</v>
      </c>
      <c r="I42" s="291">
        <v>0</v>
      </c>
      <c r="J42" s="291">
        <v>0</v>
      </c>
      <c r="K42" s="303"/>
      <c r="L42" s="237"/>
      <c r="M42" s="234"/>
      <c r="N42" s="237"/>
    </row>
    <row r="43" spans="2:14" s="171" customFormat="1" ht="12" customHeight="1" x14ac:dyDescent="0.2">
      <c r="B43" s="304">
        <f t="shared" si="0"/>
        <v>3</v>
      </c>
      <c r="C43" s="333" t="s">
        <v>121</v>
      </c>
      <c r="D43" s="338"/>
      <c r="E43" s="293">
        <v>0</v>
      </c>
      <c r="F43" s="293">
        <v>0</v>
      </c>
      <c r="G43" s="293">
        <v>0</v>
      </c>
      <c r="H43" s="293">
        <v>1</v>
      </c>
      <c r="I43" s="293">
        <v>0</v>
      </c>
      <c r="J43" s="293">
        <v>0</v>
      </c>
      <c r="K43" s="305"/>
      <c r="L43" s="237"/>
      <c r="M43" s="234"/>
      <c r="N43" s="237"/>
    </row>
    <row r="44" spans="2:14" s="171" customFormat="1" ht="12" customHeight="1" x14ac:dyDescent="0.2">
      <c r="B44" s="304"/>
      <c r="C44" s="334"/>
      <c r="D44" s="340"/>
      <c r="E44" s="306"/>
      <c r="F44" s="298"/>
      <c r="G44" s="298"/>
      <c r="H44" s="298"/>
      <c r="I44" s="298"/>
      <c r="J44" s="298"/>
      <c r="K44" s="307"/>
      <c r="L44" s="237"/>
      <c r="M44" s="234"/>
      <c r="N44" s="237"/>
    </row>
    <row r="45" spans="2:14" s="171" customFormat="1" ht="12" customHeight="1" x14ac:dyDescent="0.2">
      <c r="B45" s="304"/>
      <c r="C45" s="335"/>
      <c r="D45" s="339"/>
      <c r="E45" s="295"/>
      <c r="F45" s="295"/>
      <c r="G45" s="295"/>
      <c r="H45" s="295"/>
      <c r="I45" s="295"/>
      <c r="J45" s="295"/>
      <c r="K45" s="308"/>
      <c r="L45" s="237"/>
      <c r="M45" s="234"/>
      <c r="N45" s="237"/>
    </row>
    <row r="46" spans="2:14" s="171" customFormat="1" ht="12" customHeight="1" thickBot="1" x14ac:dyDescent="0.25">
      <c r="B46" s="435">
        <f t="shared" si="0"/>
        <v>1</v>
      </c>
      <c r="C46" s="336" t="s">
        <v>115</v>
      </c>
      <c r="D46" s="341"/>
      <c r="E46" s="309">
        <v>0</v>
      </c>
      <c r="F46" s="309">
        <v>0</v>
      </c>
      <c r="G46" s="309">
        <v>0</v>
      </c>
      <c r="H46" s="309">
        <v>0</v>
      </c>
      <c r="I46" s="309">
        <v>0</v>
      </c>
      <c r="J46" s="309">
        <v>0</v>
      </c>
      <c r="K46" s="310"/>
      <c r="L46" s="237"/>
      <c r="M46" s="234"/>
      <c r="N46" s="237"/>
    </row>
    <row r="47" spans="2:14" s="171" customFormat="1" ht="12" customHeight="1" x14ac:dyDescent="0.2">
      <c r="E47" s="234"/>
      <c r="F47" s="234"/>
      <c r="G47" s="234"/>
      <c r="H47" s="234"/>
      <c r="I47" s="234"/>
      <c r="J47" s="234"/>
      <c r="K47" s="234"/>
      <c r="L47" s="234"/>
      <c r="M47" s="234"/>
      <c r="N47" s="234"/>
    </row>
    <row r="48" spans="2:14" s="171" customFormat="1" ht="12" customHeight="1" x14ac:dyDescent="0.2">
      <c r="B48" s="311"/>
      <c r="C48" s="234" t="s">
        <v>96</v>
      </c>
      <c r="D48" s="234"/>
      <c r="E48" s="234">
        <f t="shared" ref="E48:J48" ca="1" si="1">SUM(E26:E46)</f>
        <v>2</v>
      </c>
      <c r="F48" s="234">
        <f t="shared" si="1"/>
        <v>1</v>
      </c>
      <c r="G48" s="234">
        <f t="shared" ca="1" si="1"/>
        <v>3</v>
      </c>
      <c r="H48" s="234">
        <f t="shared" ca="1" si="1"/>
        <v>4</v>
      </c>
      <c r="I48" s="234">
        <f t="shared" ca="1" si="1"/>
        <v>2</v>
      </c>
      <c r="J48" s="234">
        <f t="shared" si="1"/>
        <v>1</v>
      </c>
      <c r="K48" s="234"/>
      <c r="L48" s="237"/>
      <c r="M48" s="234"/>
      <c r="N48" s="237"/>
    </row>
    <row r="49" spans="2:16" s="171" customFormat="1" ht="12" customHeight="1" x14ac:dyDescent="0.2">
      <c r="B49" s="311"/>
      <c r="C49" s="234"/>
      <c r="D49" s="234"/>
      <c r="E49" s="234"/>
      <c r="F49" s="234"/>
      <c r="G49" s="234"/>
      <c r="H49" s="234"/>
      <c r="I49" s="234"/>
      <c r="J49" s="234"/>
      <c r="K49" s="234"/>
      <c r="L49" s="237"/>
      <c r="M49" s="234"/>
      <c r="N49" s="237"/>
    </row>
    <row r="50" spans="2:16" s="171" customFormat="1" ht="12" customHeight="1" x14ac:dyDescent="0.2">
      <c r="B50" s="311"/>
      <c r="C50" s="234"/>
      <c r="D50" s="234"/>
      <c r="E50" s="234"/>
      <c r="F50" s="234"/>
      <c r="G50" s="234"/>
      <c r="H50" s="234"/>
      <c r="I50" s="234"/>
      <c r="J50" s="234"/>
      <c r="K50" s="234"/>
      <c r="L50" s="237"/>
      <c r="M50" s="234"/>
      <c r="N50" s="237"/>
    </row>
    <row r="51" spans="2:16" s="171" customFormat="1" ht="12" customHeight="1" x14ac:dyDescent="0.2">
      <c r="B51" s="312"/>
      <c r="C51" s="286"/>
      <c r="D51" s="234"/>
      <c r="E51" s="234"/>
      <c r="F51" s="234"/>
      <c r="G51" s="234"/>
      <c r="H51" s="235"/>
      <c r="I51" s="234"/>
      <c r="J51" s="313" t="s">
        <v>89</v>
      </c>
      <c r="K51" s="234"/>
      <c r="L51" s="237"/>
      <c r="M51" s="234"/>
      <c r="N51" s="237"/>
    </row>
    <row r="52" spans="2:16" s="171" customFormat="1" ht="12" customHeight="1" x14ac:dyDescent="0.2">
      <c r="B52" s="233"/>
      <c r="C52" s="286"/>
      <c r="D52" s="234"/>
      <c r="E52" s="234"/>
      <c r="F52" s="234"/>
      <c r="G52" s="234"/>
      <c r="H52" s="235"/>
      <c r="I52" s="234"/>
      <c r="J52" s="313" t="s">
        <v>91</v>
      </c>
      <c r="K52" s="234"/>
      <c r="L52" s="237"/>
      <c r="M52" s="234"/>
      <c r="N52" s="237"/>
    </row>
    <row r="53" spans="2:16" s="171" customFormat="1" ht="12" customHeight="1" x14ac:dyDescent="0.2">
      <c r="B53" s="233"/>
      <c r="C53" s="286"/>
      <c r="D53" s="313" t="str">
        <f ca="1" xml:space="preserve"> CONCATENATE("Военная пенсия ",E19)</f>
        <v>Военная пенсия 1</v>
      </c>
      <c r="E53" s="237" t="str">
        <f ca="1" xml:space="preserve"> CONCATENATE("Расчет ",E19)</f>
        <v>Расчет 1</v>
      </c>
      <c r="F53" s="234"/>
      <c r="G53" s="234"/>
      <c r="H53" s="235"/>
      <c r="I53" s="234"/>
      <c r="J53" s="313" t="s">
        <v>90</v>
      </c>
      <c r="K53" s="234"/>
      <c r="L53" s="237"/>
      <c r="M53" s="234"/>
      <c r="N53" s="237"/>
    </row>
    <row r="54" spans="2:16" s="171" customFormat="1" ht="12" customHeight="1" x14ac:dyDescent="0.2">
      <c r="B54" s="233"/>
      <c r="C54" s="286"/>
      <c r="D54" s="234">
        <f ca="1">IF(E19=1,ROW(E58),IF(E19 = 2, ROW(E64), IF(E19= 3,ROW(E70),0)))</f>
        <v>58</v>
      </c>
      <c r="E54" s="234">
        <f ca="1">IF(E19=1,ROW(F60),IF(E19 = 2, ROW(F67), IF(E19= 3,ROW(F71),0)))</f>
        <v>60</v>
      </c>
      <c r="F54" s="234" t="s">
        <v>167</v>
      </c>
      <c r="G54" s="234"/>
      <c r="H54" s="235"/>
      <c r="I54" s="234"/>
      <c r="J54" s="313" t="s">
        <v>95</v>
      </c>
      <c r="K54" s="234"/>
      <c r="L54" s="237"/>
      <c r="M54" s="234"/>
      <c r="N54" s="237"/>
    </row>
    <row r="55" spans="2:16" s="171" customFormat="1" ht="12" customHeight="1" x14ac:dyDescent="0.2">
      <c r="B55" s="233"/>
      <c r="C55" s="286"/>
      <c r="D55" s="234">
        <f ca="1">IF(E19&lt;3,3, IF(E19= 3,2,0))</f>
        <v>3</v>
      </c>
      <c r="E55" s="234">
        <f ca="1">IF(E19&lt;3,4, IF(E19= 3,2,0))</f>
        <v>4</v>
      </c>
      <c r="F55" s="234" t="s">
        <v>168</v>
      </c>
      <c r="G55" s="234"/>
      <c r="H55" s="235"/>
      <c r="I55" s="234"/>
      <c r="J55" s="313" t="s">
        <v>93</v>
      </c>
      <c r="K55" s="234"/>
      <c r="L55" s="237"/>
      <c r="M55" s="234"/>
      <c r="N55" s="237"/>
    </row>
    <row r="56" spans="2:16" s="171" customFormat="1" ht="12" customHeight="1" x14ac:dyDescent="0.2">
      <c r="B56" s="233"/>
      <c r="C56" s="286"/>
      <c r="D56" s="234"/>
      <c r="E56" s="234"/>
      <c r="F56" s="234"/>
      <c r="G56" s="234"/>
      <c r="H56" s="235"/>
      <c r="I56" s="234"/>
      <c r="J56" s="237"/>
      <c r="K56" s="234"/>
      <c r="L56" s="237"/>
      <c r="M56" s="234"/>
      <c r="N56" s="237"/>
      <c r="O56" s="314">
        <v>1</v>
      </c>
    </row>
    <row r="57" spans="2:16" s="171" customFormat="1" ht="12" customHeight="1" thickBot="1" x14ac:dyDescent="0.25">
      <c r="B57" s="325" t="s">
        <v>169</v>
      </c>
      <c r="C57" s="326" t="s">
        <v>139</v>
      </c>
      <c r="D57" s="326" t="s">
        <v>83</v>
      </c>
      <c r="E57" s="326" t="s">
        <v>84</v>
      </c>
      <c r="F57" s="326" t="s">
        <v>85</v>
      </c>
      <c r="G57" s="326" t="s">
        <v>180</v>
      </c>
      <c r="H57" s="327" t="s">
        <v>178</v>
      </c>
      <c r="I57" s="326" t="s">
        <v>179</v>
      </c>
      <c r="J57" s="328" t="s">
        <v>86</v>
      </c>
      <c r="K57" s="326" t="s">
        <v>88</v>
      </c>
      <c r="L57" s="326" t="s">
        <v>87</v>
      </c>
      <c r="M57" s="326" t="s">
        <v>94</v>
      </c>
      <c r="N57" s="329" t="s">
        <v>92</v>
      </c>
      <c r="O57" s="993"/>
      <c r="P57" s="993"/>
    </row>
    <row r="58" spans="2:16" s="171" customFormat="1" ht="12" customHeight="1" x14ac:dyDescent="0.2">
      <c r="B58" s="315" t="s">
        <v>140</v>
      </c>
      <c r="C58" s="316" t="s">
        <v>148</v>
      </c>
      <c r="D58" s="411">
        <f ca="1">E27</f>
        <v>1</v>
      </c>
      <c r="E58" s="412">
        <f ca="1">IF(D58=0,0,'Военная пенсия 1'!A32)</f>
        <v>0</v>
      </c>
      <c r="F58" s="412">
        <f ca="1">IF(D58=0,0,'Военная пенсия 1'!A30)</f>
        <v>18</v>
      </c>
      <c r="G58" s="412">
        <f ca="1">IF(D58=0,0,'Военная пенсия 1'!A31)</f>
        <v>18</v>
      </c>
      <c r="H58" s="412">
        <f ca="1">IF(F58&gt;G58,F58-G58,0)</f>
        <v>0</v>
      </c>
      <c r="I58" s="412">
        <f ca="1">IF(G58&gt;F58,G58-F58,0)</f>
        <v>0</v>
      </c>
      <c r="J58" s="413">
        <f>ROW('Военная пенсия 1'!C32) + 1</f>
        <v>33</v>
      </c>
      <c r="K58" s="414">
        <f ca="1">J58+F58-1</f>
        <v>50</v>
      </c>
      <c r="L58" s="414">
        <f ca="1">K58+I58-H58</f>
        <v>50</v>
      </c>
      <c r="M58" s="414">
        <f ca="1">IF(H58&gt;0,L58+1,0)</f>
        <v>0</v>
      </c>
      <c r="N58" s="415">
        <f ca="1">IF(I58&gt;0,K58+1,0)</f>
        <v>0</v>
      </c>
      <c r="O58" s="994" t="str">
        <f t="shared" ref="O58:O70" ca="1" si="2">IF(E58=1,CONCATENATE("D",ROW(A58)),"")</f>
        <v/>
      </c>
      <c r="P58" s="993"/>
    </row>
    <row r="59" spans="2:16" s="171" customFormat="1" ht="12" customHeight="1" x14ac:dyDescent="0.2">
      <c r="B59" s="317"/>
      <c r="C59" s="318" t="s">
        <v>235</v>
      </c>
      <c r="D59" s="416">
        <f ca="1">E27</f>
        <v>1</v>
      </c>
      <c r="E59" s="406">
        <f ca="1">IF(D59=0,0,'Военная пенсия 1'!A97)</f>
        <v>0</v>
      </c>
      <c r="F59" s="406">
        <f ca="1">IF(D59=0,0,'Военная пенсия 1'!A95)</f>
        <v>17</v>
      </c>
      <c r="G59" s="406">
        <f ca="1">IF(D59=0,0,'Военная пенсия 1'!A96)</f>
        <v>17</v>
      </c>
      <c r="H59" s="406">
        <f ca="1">IF(F59&gt;G59,F59-G59,0)</f>
        <v>0</v>
      </c>
      <c r="I59" s="406">
        <f ca="1">IF(G59&gt;F59,G59-F59,0)</f>
        <v>0</v>
      </c>
      <c r="J59" s="417">
        <f>ROW('Военная пенсия 1'!C97) + 1</f>
        <v>98</v>
      </c>
      <c r="K59" s="418">
        <f ca="1">J59+F59-1</f>
        <v>114</v>
      </c>
      <c r="L59" s="418">
        <f ca="1">K59+I59-H59</f>
        <v>114</v>
      </c>
      <c r="M59" s="418">
        <f ca="1">IF(H59&gt;0,L59+1,0)</f>
        <v>0</v>
      </c>
      <c r="N59" s="419">
        <f ca="1">IF(I59&gt;0,K59+1,0)</f>
        <v>0</v>
      </c>
      <c r="O59" s="994" t="str">
        <f t="shared" ca="1" si="2"/>
        <v/>
      </c>
      <c r="P59" s="993"/>
    </row>
    <row r="60" spans="2:16" s="171" customFormat="1" ht="12" customHeight="1" x14ac:dyDescent="0.2">
      <c r="B60" s="317"/>
      <c r="C60" s="892" t="s">
        <v>236</v>
      </c>
      <c r="D60" s="893">
        <f ca="1">$E27</f>
        <v>1</v>
      </c>
      <c r="E60" s="408">
        <f ca="1">IF(D60=0,0,'Военная пенсия 1'!A121)</f>
        <v>0</v>
      </c>
      <c r="F60" s="408">
        <f ca="1">IF(D60=0,0,'Военная пенсия 1'!A119)</f>
        <v>13</v>
      </c>
      <c r="G60" s="408">
        <f ca="1">IF(D60=0,0,'Военная пенсия 1'!A120)</f>
        <v>13</v>
      </c>
      <c r="H60" s="408">
        <f ca="1">IF(F60&gt;G60,F60-G60,0)</f>
        <v>0</v>
      </c>
      <c r="I60" s="408">
        <f ca="1">IF(G60&gt;F60,G60-F60,0)</f>
        <v>0</v>
      </c>
      <c r="J60" s="894">
        <f>ROW('Военная пенсия 1'!C121) + 1</f>
        <v>122</v>
      </c>
      <c r="K60" s="895">
        <f ca="1">J60+F60-1</f>
        <v>134</v>
      </c>
      <c r="L60" s="895">
        <f ca="1">K60+I60-H60</f>
        <v>134</v>
      </c>
      <c r="M60" s="895">
        <f ca="1">IF(H60&gt;0,L60+1,0)</f>
        <v>0</v>
      </c>
      <c r="N60" s="896">
        <f ca="1">IF(I60&gt;0,K60+1,0)</f>
        <v>0</v>
      </c>
      <c r="O60" s="994" t="str">
        <f t="shared" ca="1" si="2"/>
        <v/>
      </c>
      <c r="P60" s="993"/>
    </row>
    <row r="61" spans="2:16" s="171" customFormat="1" ht="12" customHeight="1" x14ac:dyDescent="0.2">
      <c r="B61" s="1039"/>
      <c r="C61" s="887" t="s">
        <v>271</v>
      </c>
      <c r="D61" s="888">
        <f>$E$28</f>
        <v>0</v>
      </c>
      <c r="E61" s="410">
        <v>0</v>
      </c>
      <c r="F61" s="410">
        <v>0</v>
      </c>
      <c r="G61" s="410">
        <v>0</v>
      </c>
      <c r="H61" s="410">
        <f t="shared" ref="H61:H63" si="3">IF(F61&gt;G61,F61-G61,0)</f>
        <v>0</v>
      </c>
      <c r="I61" s="410">
        <f t="shared" ref="I61:I63" si="4">IF(G61&gt;F61,G61-F61,0)</f>
        <v>0</v>
      </c>
      <c r="J61" s="889">
        <v>99</v>
      </c>
      <c r="K61" s="890">
        <f t="shared" ref="K61:K63" si="5">J61+F61-1</f>
        <v>98</v>
      </c>
      <c r="L61" s="890">
        <f t="shared" ref="L61:L63" si="6">K61+I61-H61</f>
        <v>98</v>
      </c>
      <c r="M61" s="890">
        <f t="shared" ref="M61:M63" si="7">IF(H61&gt;0,L61+1,0)</f>
        <v>0</v>
      </c>
      <c r="N61" s="891">
        <f t="shared" ref="N61:N63" si="8">IF(I61&gt;0,K61+1,0)</f>
        <v>0</v>
      </c>
      <c r="O61" s="994" t="str">
        <f t="shared" si="2"/>
        <v/>
      </c>
      <c r="P61" s="993"/>
    </row>
    <row r="62" spans="2:16" s="171" customFormat="1" ht="12" customHeight="1" x14ac:dyDescent="0.2">
      <c r="B62" s="1039"/>
      <c r="C62" s="320" t="s">
        <v>272</v>
      </c>
      <c r="D62" s="424">
        <f>$E$28</f>
        <v>0</v>
      </c>
      <c r="E62" s="410">
        <v>0</v>
      </c>
      <c r="F62" s="404">
        <v>0</v>
      </c>
      <c r="G62" s="404">
        <v>0</v>
      </c>
      <c r="H62" s="404">
        <f t="shared" si="3"/>
        <v>0</v>
      </c>
      <c r="I62" s="404">
        <f t="shared" si="4"/>
        <v>0</v>
      </c>
      <c r="J62" s="425">
        <v>131</v>
      </c>
      <c r="K62" s="426">
        <f t="shared" si="5"/>
        <v>130</v>
      </c>
      <c r="L62" s="426">
        <f t="shared" si="6"/>
        <v>130</v>
      </c>
      <c r="M62" s="426">
        <f t="shared" si="7"/>
        <v>0</v>
      </c>
      <c r="N62" s="427">
        <f t="shared" si="8"/>
        <v>0</v>
      </c>
      <c r="O62" s="994" t="str">
        <f t="shared" si="2"/>
        <v/>
      </c>
      <c r="P62" s="993"/>
    </row>
    <row r="63" spans="2:16" s="171" customFormat="1" ht="12" customHeight="1" thickBot="1" x14ac:dyDescent="0.25">
      <c r="B63" s="1039"/>
      <c r="C63" s="321" t="s">
        <v>273</v>
      </c>
      <c r="D63" s="428">
        <f>$E$28</f>
        <v>0</v>
      </c>
      <c r="E63" s="410">
        <v>0</v>
      </c>
      <c r="F63" s="429">
        <v>0</v>
      </c>
      <c r="G63" s="429">
        <v>0</v>
      </c>
      <c r="H63" s="429">
        <f t="shared" si="3"/>
        <v>0</v>
      </c>
      <c r="I63" s="429">
        <f t="shared" si="4"/>
        <v>0</v>
      </c>
      <c r="J63" s="430">
        <v>146</v>
      </c>
      <c r="K63" s="431">
        <f t="shared" si="5"/>
        <v>145</v>
      </c>
      <c r="L63" s="431">
        <f t="shared" si="6"/>
        <v>145</v>
      </c>
      <c r="M63" s="431">
        <f t="shared" si="7"/>
        <v>0</v>
      </c>
      <c r="N63" s="432">
        <f t="shared" si="8"/>
        <v>0</v>
      </c>
      <c r="O63" s="994" t="str">
        <f t="shared" si="2"/>
        <v/>
      </c>
      <c r="P63" s="993"/>
    </row>
    <row r="64" spans="2:16" s="171" customFormat="1" ht="12" customHeight="1" x14ac:dyDescent="0.2">
      <c r="B64" s="315" t="s">
        <v>141</v>
      </c>
      <c r="C64" s="316" t="s">
        <v>149</v>
      </c>
      <c r="D64" s="411">
        <f ca="1">$E$31</f>
        <v>0</v>
      </c>
      <c r="E64" s="412">
        <f ca="1">IF(D64=0,0,'Военная пенсия 2'!A33)</f>
        <v>0</v>
      </c>
      <c r="F64" s="412">
        <f ca="1">IF(D64=0,0,'Военная пенсия 2'!A31)</f>
        <v>0</v>
      </c>
      <c r="G64" s="412">
        <f ca="1">IF(F64=0,0,'Военная пенсия 2'!A32)</f>
        <v>0</v>
      </c>
      <c r="H64" s="412">
        <f ca="1">IF(F64&gt;G64,F64-G64,0)</f>
        <v>0</v>
      </c>
      <c r="I64" s="412">
        <f ca="1">IF(G64&gt;F64,G64-F64,0)</f>
        <v>0</v>
      </c>
      <c r="J64" s="413">
        <f>ROW('Военная пенсия 2'!A34)+1</f>
        <v>35</v>
      </c>
      <c r="K64" s="414">
        <f ca="1">J64+F64-1</f>
        <v>34</v>
      </c>
      <c r="L64" s="414">
        <f ca="1">K64+I64-H64</f>
        <v>34</v>
      </c>
      <c r="M64" s="414">
        <f ca="1">IF(H64&gt;0,L64+1,0)</f>
        <v>0</v>
      </c>
      <c r="N64" s="415">
        <f ca="1">IF(I64&gt;0,K64+1,0)</f>
        <v>0</v>
      </c>
      <c r="O64" s="994" t="str">
        <f t="shared" ca="1" si="2"/>
        <v/>
      </c>
      <c r="P64" s="993"/>
    </row>
    <row r="65" spans="1:16" s="171" customFormat="1" ht="12" customHeight="1" x14ac:dyDescent="0.2">
      <c r="B65" s="317"/>
      <c r="C65" s="318" t="s">
        <v>245</v>
      </c>
      <c r="D65" s="416">
        <f ca="1">$E$31</f>
        <v>0</v>
      </c>
      <c r="E65" s="406">
        <f ca="1">IF(D65=0,0,'Военная пенсия 2'!A80)</f>
        <v>0</v>
      </c>
      <c r="F65" s="406">
        <f ca="1">IF(D65=0,0,'Военная пенсия 2'!A78)</f>
        <v>0</v>
      </c>
      <c r="G65" s="406">
        <f ca="1">IF(F65=0,0,'Военная пенсия 2'!A79)</f>
        <v>0</v>
      </c>
      <c r="H65" s="406">
        <f ca="1">IF(F65&gt;G65,F65-G65,0)</f>
        <v>0</v>
      </c>
      <c r="I65" s="406">
        <f ca="1">IF(G65&gt;F65,G65-F65,0)</f>
        <v>0</v>
      </c>
      <c r="J65" s="417">
        <f>ROW('Военная пенсия 2'!A80)+2</f>
        <v>82</v>
      </c>
      <c r="K65" s="418">
        <f ca="1">J65+F65-1</f>
        <v>81</v>
      </c>
      <c r="L65" s="418">
        <f ca="1">K65+I65-H65</f>
        <v>81</v>
      </c>
      <c r="M65" s="418">
        <f ca="1">IF(H65&gt;0,L65+1,0)</f>
        <v>0</v>
      </c>
      <c r="N65" s="419">
        <f ca="1">IF(I65&gt;0,K65+1,0)</f>
        <v>0</v>
      </c>
      <c r="O65" s="994" t="str">
        <f ca="1">IF(E65=1,CONCATENATE("D",ROW(A65)),"")</f>
        <v/>
      </c>
      <c r="P65" s="993"/>
    </row>
    <row r="66" spans="1:16" s="171" customFormat="1" ht="12" customHeight="1" x14ac:dyDescent="0.2">
      <c r="B66" s="317"/>
      <c r="C66" s="318" t="s">
        <v>246</v>
      </c>
      <c r="D66" s="416">
        <f ca="1">$E$31</f>
        <v>0</v>
      </c>
      <c r="E66" s="406">
        <f ca="1">IF(D66=0,0,'Военная пенсия 2'!A97)</f>
        <v>0</v>
      </c>
      <c r="F66" s="406">
        <f ca="1">IF(D66=0,0,'Военная пенсия 2'!A95)</f>
        <v>0</v>
      </c>
      <c r="G66" s="406">
        <f ca="1">IF(F66=0,0,'Военная пенсия 2'!A96)</f>
        <v>0</v>
      </c>
      <c r="H66" s="406">
        <f ca="1">IF(F66&gt;G66,F66-G66,0)</f>
        <v>0</v>
      </c>
      <c r="I66" s="406">
        <f ca="1">IF(G66&gt;F66,G66-F66,0)</f>
        <v>0</v>
      </c>
      <c r="J66" s="417">
        <f>ROW('Военная пенсия 2'!A97)+1</f>
        <v>98</v>
      </c>
      <c r="K66" s="418">
        <f ca="1">J66+F66-1</f>
        <v>97</v>
      </c>
      <c r="L66" s="418">
        <f ca="1">K66+I66-H66</f>
        <v>97</v>
      </c>
      <c r="M66" s="418">
        <f ca="1">IF(H66&gt;0,L66+1,0)</f>
        <v>0</v>
      </c>
      <c r="N66" s="419">
        <f ca="1">IF(I66&gt;0,K66+1,0)</f>
        <v>0</v>
      </c>
      <c r="O66" s="994" t="str">
        <f ca="1">IF(E66=1,CONCATENATE("D",ROW(A66)),"")</f>
        <v/>
      </c>
      <c r="P66" s="993"/>
    </row>
    <row r="67" spans="1:16" s="171" customFormat="1" ht="12" customHeight="1" x14ac:dyDescent="0.2">
      <c r="B67" s="1039"/>
      <c r="C67" s="319"/>
      <c r="D67" s="420"/>
      <c r="E67" s="402"/>
      <c r="F67" s="402"/>
      <c r="G67" s="402"/>
      <c r="H67" s="402"/>
      <c r="I67" s="402"/>
      <c r="J67" s="421"/>
      <c r="K67" s="422"/>
      <c r="L67" s="422"/>
      <c r="M67" s="422"/>
      <c r="N67" s="423"/>
      <c r="O67" s="994" t="str">
        <f t="shared" si="2"/>
        <v/>
      </c>
      <c r="P67" s="993"/>
    </row>
    <row r="68" spans="1:16" s="171" customFormat="1" ht="12" customHeight="1" x14ac:dyDescent="0.2">
      <c r="B68" s="1039"/>
      <c r="C68" s="1040"/>
      <c r="D68" s="1020"/>
      <c r="E68" s="1021"/>
      <c r="F68" s="1021"/>
      <c r="G68" s="1021"/>
      <c r="H68" s="1021"/>
      <c r="I68" s="1021"/>
      <c r="J68" s="1022"/>
      <c r="K68" s="1023"/>
      <c r="L68" s="1023"/>
      <c r="M68" s="1023"/>
      <c r="N68" s="1024"/>
      <c r="O68" s="994"/>
      <c r="P68" s="993"/>
    </row>
    <row r="69" spans="1:16" s="171" customFormat="1" ht="12" customHeight="1" thickBot="1" x14ac:dyDescent="0.25">
      <c r="B69" s="1039"/>
      <c r="C69" s="321"/>
      <c r="D69" s="428"/>
      <c r="E69" s="429"/>
      <c r="F69" s="429"/>
      <c r="G69" s="429"/>
      <c r="H69" s="429"/>
      <c r="I69" s="429"/>
      <c r="J69" s="430"/>
      <c r="K69" s="431"/>
      <c r="L69" s="431"/>
      <c r="M69" s="431"/>
      <c r="N69" s="432"/>
      <c r="O69" s="994" t="str">
        <f t="shared" si="2"/>
        <v/>
      </c>
      <c r="P69" s="993"/>
    </row>
    <row r="70" spans="1:16" s="171" customFormat="1" ht="12" customHeight="1" x14ac:dyDescent="0.2">
      <c r="B70" s="315" t="s">
        <v>142</v>
      </c>
      <c r="C70" s="316" t="s">
        <v>150</v>
      </c>
      <c r="D70" s="411">
        <f ca="1">$E$35</f>
        <v>0</v>
      </c>
      <c r="E70" s="412">
        <f ca="1">IF(D70=0,0,'Военная пенсия 3'!A29)</f>
        <v>0</v>
      </c>
      <c r="F70" s="412">
        <f ca="1">IF(D70=0,0,'Военная пенсия 3'!A27)</f>
        <v>0</v>
      </c>
      <c r="G70" s="412">
        <f ca="1">IF(F70=0,0,'Военная пенсия 3'!A28)</f>
        <v>0</v>
      </c>
      <c r="H70" s="412">
        <f ca="1">IF(F70&gt;G70,F70-G70,0)</f>
        <v>0</v>
      </c>
      <c r="I70" s="412">
        <f ca="1">IF(G70&gt;F70,G70-F70,0)</f>
        <v>0</v>
      </c>
      <c r="J70" s="413">
        <f>ROW('Военная пенсия 3'!A30)+1</f>
        <v>31</v>
      </c>
      <c r="K70" s="414">
        <f ca="1">J70+F70-1</f>
        <v>30</v>
      </c>
      <c r="L70" s="414">
        <f ca="1">K70+I70-H70</f>
        <v>30</v>
      </c>
      <c r="M70" s="414">
        <f ca="1">IF(H70&gt;0,L70+1,0)</f>
        <v>0</v>
      </c>
      <c r="N70" s="415">
        <f ca="1">IF(I70&gt;0,K70+1,0)</f>
        <v>0</v>
      </c>
      <c r="O70" s="994" t="str">
        <f t="shared" ca="1" si="2"/>
        <v/>
      </c>
      <c r="P70" s="993"/>
    </row>
    <row r="71" spans="1:16" s="171" customFormat="1" ht="12" customHeight="1" x14ac:dyDescent="0.2">
      <c r="B71" s="317"/>
      <c r="C71" s="1028" t="s">
        <v>247</v>
      </c>
      <c r="D71" s="893">
        <f ca="1">$E$35</f>
        <v>0</v>
      </c>
      <c r="E71" s="408">
        <f ca="1">IF(D71=0,0,'Военная пенсия 3'!A51)</f>
        <v>0</v>
      </c>
      <c r="F71" s="408">
        <f ca="1">IF(D71=0,0,'Военная пенсия 3'!A49)</f>
        <v>0</v>
      </c>
      <c r="G71" s="408">
        <f ca="1">IF(F71=0,0,'Военная пенсия 3'!A50)</f>
        <v>0</v>
      </c>
      <c r="H71" s="408">
        <f ca="1">IF(F71&gt;G71,F71-G71,0)</f>
        <v>0</v>
      </c>
      <c r="I71" s="408">
        <f ca="1">IF(G71&gt;F71,G71-F71,0)</f>
        <v>0</v>
      </c>
      <c r="J71" s="894">
        <f>ROW('Военная пенсия 3'!A52)+1</f>
        <v>53</v>
      </c>
      <c r="K71" s="895">
        <f ca="1">J71+F71-1</f>
        <v>52</v>
      </c>
      <c r="L71" s="895">
        <f ca="1">K71+I71-H71</f>
        <v>52</v>
      </c>
      <c r="M71" s="895">
        <f ca="1">IF(H71&gt;0,L71+1,0)</f>
        <v>0</v>
      </c>
      <c r="N71" s="896">
        <f ca="1">IF(I71&gt;0,K71+1,0)</f>
        <v>0</v>
      </c>
      <c r="O71" s="994" t="str">
        <f ca="1">IF(E71=1,CONCATENATE("D",ROW(A71)),"")</f>
        <v/>
      </c>
      <c r="P71" s="993"/>
    </row>
    <row r="72" spans="1:16" s="171" customFormat="1" ht="12" customHeight="1" thickBot="1" x14ac:dyDescent="0.25">
      <c r="B72" s="1041"/>
      <c r="C72" s="1029"/>
      <c r="D72" s="1030"/>
      <c r="E72" s="1031"/>
      <c r="F72" s="1031"/>
      <c r="G72" s="1031"/>
      <c r="H72" s="1031"/>
      <c r="I72" s="1031"/>
      <c r="J72" s="1032"/>
      <c r="K72" s="1033"/>
      <c r="L72" s="1033"/>
      <c r="M72" s="1033"/>
      <c r="N72" s="1034"/>
      <c r="O72" s="994"/>
      <c r="P72" s="993"/>
    </row>
    <row r="73" spans="1:16" s="171" customFormat="1" ht="12" customHeight="1" x14ac:dyDescent="0.2">
      <c r="B73" s="233"/>
      <c r="C73" s="286"/>
      <c r="D73" s="234"/>
      <c r="E73" s="234"/>
      <c r="F73" s="234"/>
      <c r="G73" s="234"/>
      <c r="H73" s="234"/>
      <c r="I73" s="234"/>
      <c r="J73" s="322"/>
      <c r="K73" s="233"/>
      <c r="L73" s="233"/>
      <c r="M73" s="233"/>
      <c r="N73" s="233"/>
    </row>
    <row r="74" spans="1:16" s="171" customFormat="1" ht="12" customHeight="1" x14ac:dyDescent="0.2">
      <c r="C74" s="233"/>
      <c r="D74" s="286"/>
      <c r="E74" s="234"/>
      <c r="F74" s="234"/>
      <c r="G74" s="234"/>
      <c r="H74" s="234"/>
      <c r="I74" s="234"/>
      <c r="J74" s="235"/>
      <c r="K74" s="236"/>
      <c r="L74" s="234"/>
      <c r="M74" s="237"/>
      <c r="N74" s="237"/>
    </row>
    <row r="75" spans="1:16" s="171" customFormat="1" ht="12" customHeight="1" x14ac:dyDescent="0.2">
      <c r="A75" s="276"/>
      <c r="B75" s="276"/>
      <c r="C75" s="277"/>
      <c r="D75" s="278"/>
      <c r="E75" s="278"/>
      <c r="F75" s="278"/>
      <c r="G75" s="278"/>
      <c r="H75" s="278"/>
      <c r="I75" s="278"/>
      <c r="J75" s="279"/>
      <c r="K75" s="280"/>
      <c r="L75" s="278"/>
      <c r="M75" s="281"/>
      <c r="N75" s="281"/>
      <c r="O75" s="276"/>
      <c r="P75" s="276"/>
    </row>
    <row r="76" spans="1:16" s="171" customFormat="1" ht="12" customHeight="1" thickBot="1" x14ac:dyDescent="0.25">
      <c r="E76" s="234"/>
      <c r="F76" s="234"/>
      <c r="G76" s="234"/>
      <c r="H76" s="234"/>
      <c r="I76" s="234"/>
      <c r="J76" s="234"/>
      <c r="K76" s="234"/>
      <c r="L76" s="234"/>
      <c r="M76" s="234"/>
      <c r="N76" s="234"/>
    </row>
    <row r="77" spans="1:16" s="171" customFormat="1" ht="12" customHeight="1" thickBot="1" x14ac:dyDescent="0.25">
      <c r="C77" s="323">
        <f ca="1">TODAY()</f>
        <v>44664</v>
      </c>
      <c r="E77" s="234"/>
      <c r="F77" s="1428" t="s">
        <v>118</v>
      </c>
      <c r="G77" s="1429"/>
      <c r="H77" s="1430"/>
      <c r="I77" s="234"/>
      <c r="J77" s="324">
        <f>'Исходные данные'!J12</f>
        <v>39675</v>
      </c>
      <c r="K77" s="234"/>
      <c r="L77" s="1025" t="e">
        <f>#REF!</f>
        <v>#REF!</v>
      </c>
      <c r="M77" s="1025" t="e">
        <f>#REF!</f>
        <v>#REF!</v>
      </c>
      <c r="N77" s="234"/>
    </row>
    <row r="78" spans="1:16" s="171" customFormat="1" ht="12" customHeight="1" x14ac:dyDescent="0.2">
      <c r="B78" s="234">
        <f ca="1">DAY(TODAY())</f>
        <v>13</v>
      </c>
      <c r="C78" s="234">
        <f ca="1">MONTH(TODAY())</f>
        <v>4</v>
      </c>
      <c r="D78" s="234">
        <f ca="1">YEAR(TODAY())</f>
        <v>2022</v>
      </c>
      <c r="E78" s="234"/>
      <c r="F78" s="396">
        <v>1</v>
      </c>
      <c r="G78" s="399">
        <v>31</v>
      </c>
      <c r="H78" s="399">
        <v>31</v>
      </c>
      <c r="I78" s="234">
        <f>DAY(J77)</f>
        <v>15</v>
      </c>
      <c r="J78" s="234">
        <f>MONTH(J77)</f>
        <v>8</v>
      </c>
      <c r="K78" s="234">
        <f>YEAR(J77)</f>
        <v>2008</v>
      </c>
      <c r="L78" s="245" t="e">
        <f>MONTH(L77)</f>
        <v>#REF!</v>
      </c>
      <c r="M78" s="245" t="e">
        <f>MONTH(M77)</f>
        <v>#REF!</v>
      </c>
      <c r="N78" s="234"/>
    </row>
    <row r="79" spans="1:16" s="171" customFormat="1" ht="12" customHeight="1" x14ac:dyDescent="0.2">
      <c r="B79" s="234">
        <f ca="1">VLOOKUP(C78,ДнейВмесяце,2)</f>
        <v>30</v>
      </c>
      <c r="C79" s="234"/>
      <c r="D79" s="234">
        <f ca="1">MOD(D78,4)</f>
        <v>2</v>
      </c>
      <c r="E79" s="234"/>
      <c r="F79" s="397">
        <v>2</v>
      </c>
      <c r="G79" s="400">
        <f ca="1">IF(D79&gt;0,28,29)</f>
        <v>28</v>
      </c>
      <c r="H79" s="400">
        <f>IF(K79&gt;0,28,29)</f>
        <v>29</v>
      </c>
      <c r="I79" s="234">
        <f>VLOOKUP(J78,ДнейВмесяце,3)</f>
        <v>31</v>
      </c>
      <c r="J79" s="234"/>
      <c r="K79" s="234">
        <f>MOD(K78,4)</f>
        <v>0</v>
      </c>
      <c r="L79" s="245" t="e">
        <f>DAY(L77)</f>
        <v>#REF!</v>
      </c>
      <c r="M79" s="245" t="e">
        <f>DAY(M77)</f>
        <v>#REF!</v>
      </c>
      <c r="N79" s="234"/>
    </row>
    <row r="80" spans="1:16" s="171" customFormat="1" ht="12" customHeight="1" x14ac:dyDescent="0.2">
      <c r="B80" s="234">
        <f ca="1">B79-B78</f>
        <v>17</v>
      </c>
      <c r="C80" s="234"/>
      <c r="D80" s="234"/>
      <c r="E80" s="234"/>
      <c r="F80" s="397">
        <v>3</v>
      </c>
      <c r="G80" s="400">
        <v>31</v>
      </c>
      <c r="H80" s="400">
        <v>31</v>
      </c>
      <c r="I80" s="234">
        <f>I79-I78 +1</f>
        <v>17</v>
      </c>
      <c r="J80" s="234">
        <f>IF(I79=I80,J78,J78-1)</f>
        <v>7</v>
      </c>
      <c r="K80" s="234"/>
      <c r="L80" s="1026" t="e">
        <f>L84+L83</f>
        <v>#REF!</v>
      </c>
      <c r="M80" s="794" t="e">
        <f>M78</f>
        <v>#REF!</v>
      </c>
      <c r="N80" s="234" t="s">
        <v>265</v>
      </c>
    </row>
    <row r="81" spans="1:16" s="171" customFormat="1" ht="12" customHeight="1" x14ac:dyDescent="0.2">
      <c r="B81" s="234"/>
      <c r="C81" s="324">
        <f ca="1">VLOOKUP(B9,__Периоды,2,0)</f>
        <v>44835</v>
      </c>
      <c r="D81" s="234"/>
      <c r="E81" s="234"/>
      <c r="F81" s="397">
        <v>4</v>
      </c>
      <c r="G81" s="400">
        <v>30</v>
      </c>
      <c r="H81" s="400">
        <v>30</v>
      </c>
      <c r="I81" s="234">
        <f>I80/I79</f>
        <v>0.54838709677419351</v>
      </c>
      <c r="J81" s="237">
        <f xml:space="preserve"> IF(I78 = 1,0,1 - I81)</f>
        <v>0.45161290322580649</v>
      </c>
      <c r="K81" s="234"/>
      <c r="L81" s="234" t="e">
        <f>VLOOKUP(L78,ДнейВмесяце,3)</f>
        <v>#REF!</v>
      </c>
      <c r="M81" s="245">
        <v>0</v>
      </c>
      <c r="N81" s="234"/>
    </row>
    <row r="82" spans="1:16" s="171" customFormat="1" ht="12" customHeight="1" x14ac:dyDescent="0.2">
      <c r="B82" s="234">
        <f ca="1">C82-C78</f>
        <v>6</v>
      </c>
      <c r="C82" s="234">
        <f ca="1">MONTH(C81)</f>
        <v>10</v>
      </c>
      <c r="D82" s="234">
        <f ca="1">YEAR(C81)</f>
        <v>2022</v>
      </c>
      <c r="E82" s="234"/>
      <c r="F82" s="397">
        <v>5</v>
      </c>
      <c r="G82" s="400">
        <v>31</v>
      </c>
      <c r="H82" s="400">
        <v>31</v>
      </c>
      <c r="I82" s="234"/>
      <c r="J82" s="234"/>
      <c r="K82" s="234"/>
      <c r="L82" s="794" t="e">
        <f>IF(L84  &lt; 12, L81-L79+1, 0)</f>
        <v>#REF!</v>
      </c>
      <c r="M82" s="794" t="e">
        <f>M79</f>
        <v>#REF!</v>
      </c>
      <c r="N82" s="234" t="s">
        <v>266</v>
      </c>
    </row>
    <row r="83" spans="1:16" s="171" customFormat="1" ht="12" customHeight="1" x14ac:dyDescent="0.2">
      <c r="B83" s="234">
        <f ca="1">B82 -1 +(D82-D78)*12</f>
        <v>5</v>
      </c>
      <c r="C83" s="234"/>
      <c r="D83" s="234">
        <f ca="1">(D82-D78) -1</f>
        <v>-1</v>
      </c>
      <c r="E83" s="234"/>
      <c r="F83" s="397">
        <v>6</v>
      </c>
      <c r="G83" s="400">
        <v>30</v>
      </c>
      <c r="H83" s="400">
        <v>30</v>
      </c>
      <c r="I83" s="234">
        <f>(I78-1)/I79</f>
        <v>0.45161290322580644</v>
      </c>
      <c r="J83" s="234"/>
      <c r="K83" s="234"/>
      <c r="L83" s="1027" t="e">
        <f>ROUND(L82/L81,2)</f>
        <v>#REF!</v>
      </c>
      <c r="M83" s="245"/>
      <c r="N83" s="234"/>
    </row>
    <row r="84" spans="1:16" s="171" customFormat="1" ht="12" customHeight="1" x14ac:dyDescent="0.2">
      <c r="B84" s="234"/>
      <c r="C84" s="234"/>
      <c r="D84" s="234"/>
      <c r="E84" s="234"/>
      <c r="F84" s="397">
        <v>7</v>
      </c>
      <c r="G84" s="400">
        <v>31</v>
      </c>
      <c r="H84" s="400">
        <v>31</v>
      </c>
      <c r="I84" s="234"/>
      <c r="J84" s="324">
        <f ca="1">TODAY()</f>
        <v>44664</v>
      </c>
      <c r="K84" s="234"/>
      <c r="L84" s="794" t="e">
        <f>IF(L79 &gt; 1,12 - L78,12)</f>
        <v>#REF!</v>
      </c>
      <c r="M84" s="245"/>
      <c r="N84" s="234"/>
    </row>
    <row r="85" spans="1:16" s="171" customFormat="1" ht="12" customHeight="1" x14ac:dyDescent="0.2">
      <c r="B85" s="234"/>
      <c r="C85" s="234"/>
      <c r="D85" s="234"/>
      <c r="E85" s="234"/>
      <c r="F85" s="397">
        <v>8</v>
      </c>
      <c r="G85" s="400">
        <v>31</v>
      </c>
      <c r="H85" s="400">
        <v>31</v>
      </c>
      <c r="I85" s="234">
        <f ca="1">DAY(J84)</f>
        <v>13</v>
      </c>
      <c r="J85" s="234">
        <f ca="1">MONTH(J84)</f>
        <v>4</v>
      </c>
      <c r="K85" s="234">
        <f ca="1">YEAR(J84)</f>
        <v>2022</v>
      </c>
      <c r="L85" s="245"/>
      <c r="M85" s="245"/>
      <c r="N85" s="234"/>
    </row>
    <row r="86" spans="1:16" s="171" customFormat="1" ht="12" customHeight="1" x14ac:dyDescent="0.2">
      <c r="B86" s="234"/>
      <c r="D86" s="234"/>
      <c r="E86" s="234"/>
      <c r="F86" s="397">
        <v>9</v>
      </c>
      <c r="G86" s="400">
        <v>30</v>
      </c>
      <c r="H86" s="400">
        <v>30</v>
      </c>
      <c r="I86" s="234">
        <f ca="1">VLOOKUP(J85,ДнейВмесяце,3)</f>
        <v>30</v>
      </c>
      <c r="J86" s="234"/>
      <c r="K86" s="234">
        <f ca="1">MOD(K85,4)</f>
        <v>2</v>
      </c>
      <c r="L86" s="245"/>
      <c r="M86" s="245"/>
      <c r="N86" s="234"/>
    </row>
    <row r="87" spans="1:16" s="171" customFormat="1" ht="12" customHeight="1" x14ac:dyDescent="0.2">
      <c r="B87" s="234">
        <f ca="1">D82</f>
        <v>2022</v>
      </c>
      <c r="C87" s="234">
        <f ca="1">C82</f>
        <v>10</v>
      </c>
      <c r="D87" s="234"/>
      <c r="E87" s="234"/>
      <c r="F87" s="397">
        <v>10</v>
      </c>
      <c r="G87" s="400">
        <v>31</v>
      </c>
      <c r="H87" s="400">
        <v>31</v>
      </c>
      <c r="I87" s="234"/>
      <c r="J87" s="234"/>
      <c r="K87" s="234"/>
      <c r="L87" s="245"/>
      <c r="M87" s="245"/>
      <c r="N87" s="234"/>
    </row>
    <row r="88" spans="1:16" s="171" customFormat="1" ht="12" customHeight="1" x14ac:dyDescent="0.2">
      <c r="B88" s="234">
        <f ca="1">YEAR(C77)</f>
        <v>2022</v>
      </c>
      <c r="C88" s="234">
        <f ca="1">MONTH(C77)</f>
        <v>4</v>
      </c>
      <c r="D88" s="234"/>
      <c r="E88" s="234"/>
      <c r="F88" s="397">
        <v>11</v>
      </c>
      <c r="G88" s="400">
        <v>30</v>
      </c>
      <c r="H88" s="400">
        <v>30</v>
      </c>
      <c r="I88" s="234"/>
      <c r="J88" s="323">
        <f ca="1">DATE(K85,J85,I86)</f>
        <v>44681</v>
      </c>
      <c r="K88" s="234"/>
      <c r="L88" s="245"/>
      <c r="M88" s="245"/>
      <c r="N88" s="234"/>
    </row>
    <row r="89" spans="1:16" s="171" customFormat="1" ht="12" customHeight="1" thickBot="1" x14ac:dyDescent="0.25">
      <c r="B89" s="234">
        <f ca="1">B87-B88</f>
        <v>0</v>
      </c>
      <c r="C89" s="234">
        <f ca="1">C87-C88</f>
        <v>6</v>
      </c>
      <c r="D89" s="234">
        <f ca="1">B80</f>
        <v>17</v>
      </c>
      <c r="E89" s="234"/>
      <c r="F89" s="398">
        <v>12</v>
      </c>
      <c r="G89" s="401">
        <v>31</v>
      </c>
      <c r="H89" s="401">
        <v>31</v>
      </c>
      <c r="I89" s="234"/>
      <c r="J89" s="234"/>
      <c r="K89" s="234"/>
      <c r="L89" s="245"/>
      <c r="M89" s="245"/>
      <c r="N89" s="234"/>
    </row>
    <row r="90" spans="1:16" s="171" customFormat="1" ht="12" customHeight="1" x14ac:dyDescent="0.2">
      <c r="B90" s="794">
        <f ca="1">IF(C89&lt;0,B89-1,B89)</f>
        <v>0</v>
      </c>
      <c r="C90" s="794">
        <f ca="1">MOD(C89 -1 +B89*12,12)</f>
        <v>5</v>
      </c>
      <c r="D90" s="794">
        <f ca="1">D89</f>
        <v>17</v>
      </c>
      <c r="E90" s="234"/>
      <c r="F90" s="234"/>
      <c r="G90" s="234"/>
      <c r="H90" s="234"/>
      <c r="I90" s="234">
        <f ca="1">(I85-1)/I86</f>
        <v>0.4</v>
      </c>
      <c r="J90" s="234"/>
      <c r="K90" s="234"/>
      <c r="L90" s="234"/>
      <c r="M90" s="234"/>
      <c r="N90" s="234"/>
    </row>
    <row r="91" spans="1:16" s="171" customFormat="1" ht="12" customHeight="1" x14ac:dyDescent="0.2">
      <c r="A91" s="276"/>
      <c r="B91" s="276"/>
      <c r="C91" s="277"/>
      <c r="D91" s="278"/>
      <c r="E91" s="278"/>
      <c r="F91" s="278"/>
      <c r="G91" s="278"/>
      <c r="H91" s="278"/>
      <c r="I91" s="278"/>
      <c r="J91" s="279"/>
      <c r="K91" s="280"/>
      <c r="L91" s="278"/>
      <c r="M91" s="281"/>
      <c r="N91" s="281"/>
      <c r="O91" s="276"/>
      <c r="P91" s="276"/>
    </row>
  </sheetData>
  <sheetProtection algorithmName="SHA-512" hashValue="AQdQX9QTEBw0G/hh/mS840RQoXJRlqgMfNtaVN4R6j8YaCWRA2Yj3chj0WYpSpCLIEAES8PLpHFskMN30N0hKA==" saltValue="lOB25zNX+jptQnB5d37Onw==" spinCount="100000" sheet="1" objects="1" scenarios="1" selectLockedCells="1"/>
  <mergeCells count="4">
    <mergeCell ref="C19:D19"/>
    <mergeCell ref="C24:D24"/>
    <mergeCell ref="F77:H77"/>
    <mergeCell ref="L18:M18"/>
  </mergeCells>
  <conditionalFormatting sqref="C81">
    <cfRule type="expression" dxfId="0" priority="23">
      <formula>$A$8=3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7F1E6F-1740-4D7F-980C-168243DEAA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15</vt:i4>
      </vt:variant>
    </vt:vector>
  </HeadingPairs>
  <TitlesOfParts>
    <vt:vector size="18" baseType="lpstr">
      <vt:lpstr>Исходные данные</vt:lpstr>
      <vt:lpstr>Военная пенсия 1</vt:lpstr>
      <vt:lpstr>Инструкция</vt:lpstr>
      <vt:lpstr>___СписокВЗ</vt:lpstr>
      <vt:lpstr>___СписокТР</vt:lpstr>
      <vt:lpstr>__ВПрасч1</vt:lpstr>
      <vt:lpstr>__ВПрасч2</vt:lpstr>
      <vt:lpstr>__ВПрасч3</vt:lpstr>
      <vt:lpstr>__ИндексОДС</vt:lpstr>
      <vt:lpstr>__ИндОДД</vt:lpstr>
      <vt:lpstr>__ОВД</vt:lpstr>
      <vt:lpstr>__ОВЗ</vt:lpstr>
      <vt:lpstr>__ОкладыВЗ</vt:lpstr>
      <vt:lpstr>__ОкладыТР</vt:lpstr>
      <vt:lpstr>__Периоды</vt:lpstr>
      <vt:lpstr>__СписокВЗ</vt:lpstr>
      <vt:lpstr>__СписокТР</vt:lpstr>
      <vt:lpstr>ДнейВмесяце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ВП2012</dc:title>
  <dc:creator>Владимир2009;Colonel2012</dc:creator>
  <cp:lastModifiedBy>Asus</cp:lastModifiedBy>
  <cp:lastPrinted>2022-02-06T17:21:03Z</cp:lastPrinted>
  <dcterms:created xsi:type="dcterms:W3CDTF">2019-10-29T06:53:11Z</dcterms:created>
  <dcterms:modified xsi:type="dcterms:W3CDTF">2022-04-13T04:20:38Z</dcterms:modified>
</cp:coreProperties>
</file>